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evaha\Desktop\Youri\Excel Specialist\Landingspagina persoonlijk Excel dashboard\"/>
    </mc:Choice>
  </mc:AlternateContent>
  <xr:revisionPtr revIDLastSave="0" documentId="8_{CA453B4E-53B0-4678-89A6-818DC6D49E6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SHBOARD" sheetId="13" r:id="rId1"/>
    <sheet name="Data" sheetId="18" r:id="rId2"/>
    <sheet name="Dropdown" sheetId="17" r:id="rId3"/>
  </sheets>
  <definedNames>
    <definedName name="_xlnm.Print_Area" localSheetId="0">DASHBOARD!$A$1:$N$32</definedName>
    <definedName name="ANZAHLWOCHEN">OFFSET(#REF!,,,COUNTIF(#REF!,"&gt;"""),)</definedName>
    <definedName name="BerichtJahr">DASHBOARD!$B$11</definedName>
    <definedName name="BerichtTag">DASHBOARD!$B$18</definedName>
    <definedName name="BMI_Faktor">703.0696</definedName>
    <definedName name="Datumswert">DASHBOARD!$B$10</definedName>
    <definedName name="EinzMTD">Tabelle5[]</definedName>
    <definedName name="Liste1">Dropdown!$C$3:$C$6</definedName>
    <definedName name="Liste2">Dropdown!$C$8:$C$11</definedName>
    <definedName name="Liste3">Dropdown!$C$13:$C$14</definedName>
    <definedName name="Liste4">Dropdown!$C$16:$C$17</definedName>
    <definedName name="Monatsnummer">DASHBOARD!$B$14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3" l="1"/>
  <c r="C144" i="18"/>
  <c r="B13" i="13"/>
  <c r="O103" i="18"/>
  <c r="O137" i="18"/>
  <c r="O138" i="18"/>
  <c r="O139" i="18"/>
  <c r="O140" i="18"/>
  <c r="O141" i="18"/>
  <c r="O142" i="18"/>
  <c r="O143" i="18"/>
  <c r="O144" i="18"/>
  <c r="O145" i="18"/>
  <c r="O146" i="18"/>
  <c r="O147" i="18"/>
  <c r="O148" i="18"/>
  <c r="O149" i="18"/>
  <c r="O150" i="18"/>
  <c r="O151" i="18"/>
  <c r="O152" i="18"/>
  <c r="O153" i="18"/>
  <c r="O154" i="18"/>
  <c r="O155" i="18"/>
  <c r="O156" i="18"/>
  <c r="O157" i="18"/>
  <c r="O158" i="18"/>
  <c r="O159" i="18"/>
  <c r="O160" i="18"/>
  <c r="P137" i="18"/>
  <c r="P138" i="18"/>
  <c r="P139" i="18"/>
  <c r="P140" i="18"/>
  <c r="P141" i="18"/>
  <c r="P142" i="18"/>
  <c r="P143" i="18"/>
  <c r="P144" i="18"/>
  <c r="P145" i="18"/>
  <c r="P146" i="18"/>
  <c r="P147" i="18"/>
  <c r="P148" i="18"/>
  <c r="P149" i="18"/>
  <c r="P150" i="18"/>
  <c r="P151" i="18"/>
  <c r="P152" i="18"/>
  <c r="P153" i="18"/>
  <c r="P154" i="18"/>
  <c r="P155" i="18"/>
  <c r="P156" i="18"/>
  <c r="P157" i="18"/>
  <c r="P158" i="18"/>
  <c r="P159" i="18"/>
  <c r="P160" i="18"/>
  <c r="O97" i="18"/>
  <c r="O98" i="18"/>
  <c r="O99" i="18"/>
  <c r="O100" i="18"/>
  <c r="O101" i="18"/>
  <c r="O102" i="18"/>
  <c r="O104" i="18"/>
  <c r="O105" i="18"/>
  <c r="O106" i="18"/>
  <c r="O107" i="18"/>
  <c r="O108" i="18"/>
  <c r="O109" i="18"/>
  <c r="O110" i="18"/>
  <c r="O111" i="18"/>
  <c r="O112" i="18"/>
  <c r="O113" i="18"/>
  <c r="O114" i="18"/>
  <c r="O115" i="18"/>
  <c r="O116" i="18"/>
  <c r="O117" i="18"/>
  <c r="O118" i="18"/>
  <c r="O119" i="18"/>
  <c r="O120" i="18"/>
  <c r="P97" i="18"/>
  <c r="P98" i="18"/>
  <c r="P99" i="18"/>
  <c r="P100" i="18"/>
  <c r="P101" i="18"/>
  <c r="P102" i="18"/>
  <c r="P103" i="18"/>
  <c r="P104" i="18"/>
  <c r="P105" i="18"/>
  <c r="P106" i="18"/>
  <c r="P107" i="18"/>
  <c r="P108" i="18"/>
  <c r="P109" i="18"/>
  <c r="P110" i="18"/>
  <c r="P111" i="18"/>
  <c r="P112" i="18"/>
  <c r="P113" i="18"/>
  <c r="P114" i="18"/>
  <c r="P115" i="18"/>
  <c r="P116" i="18"/>
  <c r="P117" i="18"/>
  <c r="P118" i="18"/>
  <c r="P119" i="18"/>
  <c r="P120" i="18"/>
  <c r="C116" i="18"/>
  <c r="C156" i="18" s="1"/>
  <c r="C117" i="18"/>
  <c r="AA77" i="18" s="1"/>
  <c r="C118" i="18"/>
  <c r="AA78" i="18" s="1"/>
  <c r="C119" i="18"/>
  <c r="AA79" i="18" s="1"/>
  <c r="C120" i="18"/>
  <c r="AA80" i="18" s="1"/>
  <c r="D98" i="18"/>
  <c r="D138" i="18" s="1"/>
  <c r="D99" i="18"/>
  <c r="D139" i="18" s="1"/>
  <c r="D100" i="18"/>
  <c r="D140" i="18" s="1"/>
  <c r="D101" i="18"/>
  <c r="D141" i="18" s="1"/>
  <c r="D102" i="18"/>
  <c r="D142" i="18" s="1"/>
  <c r="D103" i="18"/>
  <c r="D143" i="18" s="1"/>
  <c r="D104" i="18"/>
  <c r="D144" i="18" s="1"/>
  <c r="D105" i="18"/>
  <c r="D145" i="18" s="1"/>
  <c r="D106" i="18"/>
  <c r="D146" i="18" s="1"/>
  <c r="D107" i="18"/>
  <c r="D147" i="18" s="1"/>
  <c r="D108" i="18"/>
  <c r="D148" i="18" s="1"/>
  <c r="D109" i="18"/>
  <c r="D149" i="18" s="1"/>
  <c r="D110" i="18"/>
  <c r="D150" i="18" s="1"/>
  <c r="D111" i="18"/>
  <c r="D151" i="18" s="1"/>
  <c r="D112" i="18"/>
  <c r="D152" i="18" s="1"/>
  <c r="D113" i="18"/>
  <c r="D153" i="18" s="1"/>
  <c r="D114" i="18"/>
  <c r="D154" i="18" s="1"/>
  <c r="D115" i="18"/>
  <c r="D155" i="18" s="1"/>
  <c r="D116" i="18"/>
  <c r="D156" i="18" s="1"/>
  <c r="D117" i="18"/>
  <c r="D157" i="18" s="1"/>
  <c r="D118" i="18"/>
  <c r="D158" i="18" s="1"/>
  <c r="D119" i="18"/>
  <c r="D159" i="18" s="1"/>
  <c r="D120" i="18"/>
  <c r="D160" i="18" s="1"/>
  <c r="C57" i="18"/>
  <c r="D57" i="18" s="1"/>
  <c r="D97" i="18" s="1"/>
  <c r="D137" i="18" s="1"/>
  <c r="C160" i="18" l="1"/>
  <c r="C159" i="18"/>
  <c r="AA76" i="18"/>
  <c r="C158" i="18"/>
  <c r="C157" i="18"/>
  <c r="C58" i="18"/>
  <c r="C59" i="18" s="1"/>
  <c r="C60" i="18" s="1"/>
  <c r="C61" i="18" s="1"/>
  <c r="C62" i="18" s="1"/>
  <c r="C63" i="18" s="1"/>
  <c r="L17" i="18" l="1"/>
  <c r="L18" i="18" s="1"/>
  <c r="K17" i="18"/>
  <c r="K18" i="18" s="1"/>
  <c r="K19" i="18" s="1"/>
  <c r="K20" i="18" s="1"/>
  <c r="K21" i="18" s="1"/>
  <c r="K22" i="18" s="1"/>
  <c r="K23" i="18" s="1"/>
  <c r="C17" i="18"/>
  <c r="C18" i="18" l="1"/>
  <c r="C97" i="18"/>
  <c r="L19" i="18"/>
  <c r="L20" i="18" s="1"/>
  <c r="L21" i="18" s="1"/>
  <c r="L22" i="18" s="1"/>
  <c r="L23" i="18" s="1"/>
  <c r="L24" i="18" s="1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J20" i="13"/>
  <c r="E20" i="13"/>
  <c r="J6" i="13"/>
  <c r="E6" i="13"/>
  <c r="Z43" i="18"/>
  <c r="AD43" i="18" s="1"/>
  <c r="Z3" i="18"/>
  <c r="R43" i="18"/>
  <c r="V43" i="18" s="1"/>
  <c r="R3" i="18"/>
  <c r="J123" i="18"/>
  <c r="N123" i="18" s="1"/>
  <c r="J83" i="18"/>
  <c r="N83" i="18" s="1"/>
  <c r="J43" i="18"/>
  <c r="N43" i="18" s="1"/>
  <c r="J3" i="18"/>
  <c r="B123" i="18"/>
  <c r="F123" i="18" s="1"/>
  <c r="B83" i="18"/>
  <c r="F83" i="18" s="1"/>
  <c r="B43" i="18"/>
  <c r="F43" i="18" s="1"/>
  <c r="B3" i="18"/>
  <c r="D188" i="18" l="1"/>
  <c r="D196" i="18"/>
  <c r="D189" i="18"/>
  <c r="D197" i="18"/>
  <c r="D190" i="18"/>
  <c r="D198" i="18"/>
  <c r="D191" i="18"/>
  <c r="D199" i="18"/>
  <c r="D192" i="18"/>
  <c r="D193" i="18"/>
  <c r="D195" i="18"/>
  <c r="D194" i="18"/>
  <c r="F3" i="18"/>
  <c r="K182" i="18"/>
  <c r="K190" i="18"/>
  <c r="K198" i="18"/>
  <c r="C190" i="18"/>
  <c r="C198" i="18"/>
  <c r="D182" i="18"/>
  <c r="K183" i="18"/>
  <c r="K191" i="18"/>
  <c r="K199" i="18"/>
  <c r="C183" i="18"/>
  <c r="C191" i="18"/>
  <c r="C199" i="18"/>
  <c r="D183" i="18"/>
  <c r="K176" i="18"/>
  <c r="K184" i="18"/>
  <c r="K192" i="18"/>
  <c r="C176" i="18"/>
  <c r="C184" i="18"/>
  <c r="C192" i="18"/>
  <c r="D176" i="18"/>
  <c r="D184" i="18"/>
  <c r="K178" i="18"/>
  <c r="K194" i="18"/>
  <c r="C194" i="18"/>
  <c r="K177" i="18"/>
  <c r="K185" i="18"/>
  <c r="K193" i="18"/>
  <c r="C177" i="18"/>
  <c r="C185" i="18"/>
  <c r="C193" i="18"/>
  <c r="D177" i="18"/>
  <c r="D185" i="18"/>
  <c r="K186" i="18"/>
  <c r="C186" i="18"/>
  <c r="D178" i="18"/>
  <c r="D186" i="18"/>
  <c r="K179" i="18"/>
  <c r="K187" i="18"/>
  <c r="K195" i="18"/>
  <c r="C187" i="18"/>
  <c r="C195" i="18"/>
  <c r="D179" i="18"/>
  <c r="D187" i="18"/>
  <c r="K189" i="18"/>
  <c r="C189" i="18"/>
  <c r="D181" i="18"/>
  <c r="K180" i="18"/>
  <c r="K188" i="18"/>
  <c r="K196" i="18"/>
  <c r="C188" i="18"/>
  <c r="C196" i="18"/>
  <c r="D180" i="18"/>
  <c r="K181" i="18"/>
  <c r="K197" i="18"/>
  <c r="C197" i="18"/>
  <c r="V3" i="18"/>
  <c r="S182" i="18"/>
  <c r="S190" i="18"/>
  <c r="S198" i="18"/>
  <c r="T182" i="18"/>
  <c r="T190" i="18"/>
  <c r="T198" i="18"/>
  <c r="S183" i="18"/>
  <c r="S191" i="18"/>
  <c r="S199" i="18"/>
  <c r="T183" i="18"/>
  <c r="T191" i="18"/>
  <c r="T199" i="18"/>
  <c r="S176" i="18"/>
  <c r="S184" i="18"/>
  <c r="S192" i="18"/>
  <c r="T176" i="18"/>
  <c r="T184" i="18"/>
  <c r="T192" i="18"/>
  <c r="S178" i="18"/>
  <c r="S194" i="18"/>
  <c r="T186" i="18"/>
  <c r="S177" i="18"/>
  <c r="S185" i="18"/>
  <c r="S193" i="18"/>
  <c r="T177" i="18"/>
  <c r="T185" i="18"/>
  <c r="T193" i="18"/>
  <c r="S186" i="18"/>
  <c r="T178" i="18"/>
  <c r="T194" i="18"/>
  <c r="S179" i="18"/>
  <c r="S187" i="18"/>
  <c r="S195" i="18"/>
  <c r="T179" i="18"/>
  <c r="T187" i="18"/>
  <c r="T195" i="18"/>
  <c r="S181" i="18"/>
  <c r="S197" i="18"/>
  <c r="T181" i="18"/>
  <c r="T197" i="18"/>
  <c r="S180" i="18"/>
  <c r="S188" i="18"/>
  <c r="S196" i="18"/>
  <c r="T180" i="18"/>
  <c r="T188" i="18"/>
  <c r="T196" i="18"/>
  <c r="S189" i="18"/>
  <c r="T189" i="18"/>
  <c r="N3" i="18"/>
  <c r="L182" i="18"/>
  <c r="L190" i="18"/>
  <c r="L198" i="18"/>
  <c r="L183" i="18"/>
  <c r="L191" i="18"/>
  <c r="L199" i="18"/>
  <c r="L176" i="18"/>
  <c r="L184" i="18"/>
  <c r="L192" i="18"/>
  <c r="L186" i="18"/>
  <c r="L177" i="18"/>
  <c r="L185" i="18"/>
  <c r="L193" i="18"/>
  <c r="L178" i="18"/>
  <c r="L194" i="18"/>
  <c r="L179" i="18"/>
  <c r="L187" i="18"/>
  <c r="L195" i="18"/>
  <c r="L181" i="18"/>
  <c r="L197" i="18"/>
  <c r="L180" i="18"/>
  <c r="L188" i="18"/>
  <c r="L196" i="18"/>
  <c r="L189" i="18"/>
  <c r="AD3" i="18"/>
  <c r="AA176" i="18"/>
  <c r="AA184" i="18"/>
  <c r="AA192" i="18"/>
  <c r="AB176" i="18"/>
  <c r="AB184" i="18"/>
  <c r="AB192" i="18"/>
  <c r="AA177" i="18"/>
  <c r="AA185" i="18"/>
  <c r="AA193" i="18"/>
  <c r="AB177" i="18"/>
  <c r="AB185" i="18"/>
  <c r="AB193" i="18"/>
  <c r="AA178" i="18"/>
  <c r="AA186" i="18"/>
  <c r="AA194" i="18"/>
  <c r="AB178" i="18"/>
  <c r="AB186" i="18"/>
  <c r="AB194" i="18"/>
  <c r="AA188" i="18"/>
  <c r="AA196" i="18"/>
  <c r="AB188" i="18"/>
  <c r="AA179" i="18"/>
  <c r="AA187" i="18"/>
  <c r="AA195" i="18"/>
  <c r="AB179" i="18"/>
  <c r="AB187" i="18"/>
  <c r="AB195" i="18"/>
  <c r="AA180" i="18"/>
  <c r="AB180" i="18"/>
  <c r="AB196" i="18"/>
  <c r="AA181" i="18"/>
  <c r="AA189" i="18"/>
  <c r="AA197" i="18"/>
  <c r="AB181" i="18"/>
  <c r="AB189" i="18"/>
  <c r="AB197" i="18"/>
  <c r="AA183" i="18"/>
  <c r="AA199" i="18"/>
  <c r="AB183" i="18"/>
  <c r="AB191" i="18"/>
  <c r="AA182" i="18"/>
  <c r="AA190" i="18"/>
  <c r="AA198" i="18"/>
  <c r="AB182" i="18"/>
  <c r="AB190" i="18"/>
  <c r="AB198" i="18"/>
  <c r="AA191" i="18"/>
  <c r="AB199" i="18"/>
  <c r="C137" i="18"/>
  <c r="AA57" i="18"/>
  <c r="C19" i="18"/>
  <c r="C178" i="18" s="1"/>
  <c r="C98" i="18"/>
  <c r="C164" i="18"/>
  <c r="AB164" i="18"/>
  <c r="AF164" i="18" s="1"/>
  <c r="AB165" i="18"/>
  <c r="AB166" i="18"/>
  <c r="AB167" i="18"/>
  <c r="AB168" i="18"/>
  <c r="AB169" i="18"/>
  <c r="AB170" i="18"/>
  <c r="AB171" i="18"/>
  <c r="AB172" i="18"/>
  <c r="AB173" i="18"/>
  <c r="AB174" i="18"/>
  <c r="AB175" i="18"/>
  <c r="AA165" i="18"/>
  <c r="AA166" i="18"/>
  <c r="AA167" i="18"/>
  <c r="AA168" i="18"/>
  <c r="AA169" i="18"/>
  <c r="AA170" i="18"/>
  <c r="AA171" i="18"/>
  <c r="AA172" i="18"/>
  <c r="AA173" i="18"/>
  <c r="AA174" i="18"/>
  <c r="AA175" i="18"/>
  <c r="AA164" i="18"/>
  <c r="AE164" i="18" s="1"/>
  <c r="AF45" i="18"/>
  <c r="AF46" i="18" s="1"/>
  <c r="AF47" i="18" s="1"/>
  <c r="AF48" i="18" s="1"/>
  <c r="AF49" i="18" s="1"/>
  <c r="AF50" i="18" s="1"/>
  <c r="AF51" i="18" s="1"/>
  <c r="AF52" i="18" s="1"/>
  <c r="AF53" i="18" s="1"/>
  <c r="AF54" i="18" s="1"/>
  <c r="AF55" i="18" s="1"/>
  <c r="AF56" i="18" s="1"/>
  <c r="AF57" i="18" s="1"/>
  <c r="AF58" i="18" s="1"/>
  <c r="AF59" i="18" s="1"/>
  <c r="AF60" i="18" s="1"/>
  <c r="AF61" i="18" s="1"/>
  <c r="AF62" i="18" s="1"/>
  <c r="AF63" i="18" s="1"/>
  <c r="AF64" i="18" s="1"/>
  <c r="AF65" i="18" s="1"/>
  <c r="AF66" i="18" s="1"/>
  <c r="AF67" i="18" s="1"/>
  <c r="AF68" i="18" s="1"/>
  <c r="AF69" i="18" s="1"/>
  <c r="AF70" i="18" s="1"/>
  <c r="AF71" i="18" s="1"/>
  <c r="AF72" i="18" s="1"/>
  <c r="AF73" i="18" s="1"/>
  <c r="AF74" i="18" s="1"/>
  <c r="AF75" i="18" s="1"/>
  <c r="AF76" i="18" s="1"/>
  <c r="AF77" i="18" s="1"/>
  <c r="AF78" i="18" s="1"/>
  <c r="AF79" i="18" s="1"/>
  <c r="AF80" i="18" s="1"/>
  <c r="AF5" i="18"/>
  <c r="AF6" i="18" s="1"/>
  <c r="AF7" i="18" s="1"/>
  <c r="AF8" i="18" s="1"/>
  <c r="AF9" i="18" s="1"/>
  <c r="AF10" i="18" s="1"/>
  <c r="AF11" i="18" s="1"/>
  <c r="AF12" i="18" s="1"/>
  <c r="AF13" i="18" s="1"/>
  <c r="AF14" i="18" s="1"/>
  <c r="AF15" i="18" s="1"/>
  <c r="AF16" i="18" s="1"/>
  <c r="AF17" i="18" s="1"/>
  <c r="AF18" i="18" s="1"/>
  <c r="AF19" i="18" s="1"/>
  <c r="AF20" i="18" s="1"/>
  <c r="AF21" i="18" s="1"/>
  <c r="AF22" i="18" s="1"/>
  <c r="AF23" i="18" s="1"/>
  <c r="AF24" i="18" s="1"/>
  <c r="AF25" i="18" s="1"/>
  <c r="AF26" i="18" s="1"/>
  <c r="AF27" i="18" s="1"/>
  <c r="AF28" i="18" s="1"/>
  <c r="AF29" i="18" s="1"/>
  <c r="AF30" i="18" s="1"/>
  <c r="AF31" i="18" s="1"/>
  <c r="AF32" i="18" s="1"/>
  <c r="AF33" i="18" s="1"/>
  <c r="AF34" i="18" s="1"/>
  <c r="AF35" i="18" s="1"/>
  <c r="AF36" i="18" s="1"/>
  <c r="AF37" i="18" s="1"/>
  <c r="AF38" i="18" s="1"/>
  <c r="AF39" i="18" s="1"/>
  <c r="AF40" i="18" s="1"/>
  <c r="AE5" i="18"/>
  <c r="AE6" i="18" s="1"/>
  <c r="AE7" i="18" s="1"/>
  <c r="AE8" i="18" s="1"/>
  <c r="AE9" i="18" s="1"/>
  <c r="AE10" i="18" s="1"/>
  <c r="AE11" i="18" s="1"/>
  <c r="AE12" i="18" s="1"/>
  <c r="AE13" i="18" s="1"/>
  <c r="AE14" i="18" s="1"/>
  <c r="AE15" i="18" s="1"/>
  <c r="AE16" i="18" s="1"/>
  <c r="AE17" i="18" s="1"/>
  <c r="AE18" i="18" s="1"/>
  <c r="AE19" i="18" s="1"/>
  <c r="AE20" i="18" s="1"/>
  <c r="AE21" i="18" s="1"/>
  <c r="AE22" i="18" s="1"/>
  <c r="AE23" i="18" s="1"/>
  <c r="AE24" i="18" s="1"/>
  <c r="AE25" i="18" s="1"/>
  <c r="AE26" i="18" s="1"/>
  <c r="AE27" i="18" s="1"/>
  <c r="AE28" i="18" s="1"/>
  <c r="AE29" i="18" s="1"/>
  <c r="AE30" i="18" s="1"/>
  <c r="AE31" i="18" s="1"/>
  <c r="AE32" i="18" s="1"/>
  <c r="AE33" i="18" s="1"/>
  <c r="AE34" i="18" s="1"/>
  <c r="AE35" i="18" s="1"/>
  <c r="AE36" i="18" s="1"/>
  <c r="AE37" i="18" s="1"/>
  <c r="AE38" i="18" s="1"/>
  <c r="AE39" i="18" s="1"/>
  <c r="AE40" i="18" s="1"/>
  <c r="T164" i="18"/>
  <c r="X164" i="18" s="1"/>
  <c r="T165" i="18"/>
  <c r="T166" i="18"/>
  <c r="T167" i="18"/>
  <c r="T168" i="18"/>
  <c r="T169" i="18"/>
  <c r="T170" i="18"/>
  <c r="T171" i="18"/>
  <c r="T172" i="18"/>
  <c r="T173" i="18"/>
  <c r="T174" i="18"/>
  <c r="T175" i="18"/>
  <c r="S165" i="18"/>
  <c r="S166" i="18"/>
  <c r="S167" i="18"/>
  <c r="S168" i="18"/>
  <c r="S169" i="18"/>
  <c r="S170" i="18"/>
  <c r="S171" i="18"/>
  <c r="S172" i="18"/>
  <c r="S173" i="18"/>
  <c r="S174" i="18"/>
  <c r="S175" i="18"/>
  <c r="S164" i="18"/>
  <c r="W164" i="18" s="1"/>
  <c r="X45" i="18"/>
  <c r="X46" i="18" s="1"/>
  <c r="X47" i="18" s="1"/>
  <c r="X48" i="18" s="1"/>
  <c r="X49" i="18" s="1"/>
  <c r="X50" i="18" s="1"/>
  <c r="X51" i="18" s="1"/>
  <c r="X52" i="18" s="1"/>
  <c r="X53" i="18" s="1"/>
  <c r="X54" i="18" s="1"/>
  <c r="X55" i="18" s="1"/>
  <c r="X56" i="18" s="1"/>
  <c r="X57" i="18" s="1"/>
  <c r="X58" i="18" s="1"/>
  <c r="X59" i="18" s="1"/>
  <c r="X60" i="18" s="1"/>
  <c r="X61" i="18" s="1"/>
  <c r="X62" i="18" s="1"/>
  <c r="X63" i="18" s="1"/>
  <c r="X64" i="18" s="1"/>
  <c r="X65" i="18" s="1"/>
  <c r="X66" i="18" s="1"/>
  <c r="X67" i="18" s="1"/>
  <c r="X68" i="18" s="1"/>
  <c r="X69" i="18" s="1"/>
  <c r="X70" i="18" s="1"/>
  <c r="X71" i="18" s="1"/>
  <c r="X72" i="18" s="1"/>
  <c r="X73" i="18" s="1"/>
  <c r="X74" i="18" s="1"/>
  <c r="X75" i="18" s="1"/>
  <c r="X76" i="18" s="1"/>
  <c r="X77" i="18" s="1"/>
  <c r="X78" i="18" s="1"/>
  <c r="X79" i="18" s="1"/>
  <c r="X80" i="18" s="1"/>
  <c r="W45" i="18"/>
  <c r="W46" i="18" s="1"/>
  <c r="W47" i="18" s="1"/>
  <c r="W48" i="18" s="1"/>
  <c r="W49" i="18" s="1"/>
  <c r="W50" i="18" s="1"/>
  <c r="W51" i="18" s="1"/>
  <c r="W52" i="18" s="1"/>
  <c r="W53" i="18" s="1"/>
  <c r="W54" i="18" s="1"/>
  <c r="W55" i="18" s="1"/>
  <c r="W56" i="18" s="1"/>
  <c r="W57" i="18" s="1"/>
  <c r="W58" i="18" s="1"/>
  <c r="W59" i="18" s="1"/>
  <c r="W60" i="18" s="1"/>
  <c r="W61" i="18" s="1"/>
  <c r="W62" i="18" s="1"/>
  <c r="W63" i="18" s="1"/>
  <c r="W64" i="18" s="1"/>
  <c r="W65" i="18" s="1"/>
  <c r="W66" i="18" s="1"/>
  <c r="W67" i="18" s="1"/>
  <c r="W68" i="18" s="1"/>
  <c r="W69" i="18" s="1"/>
  <c r="W70" i="18" s="1"/>
  <c r="W71" i="18" s="1"/>
  <c r="W72" i="18" s="1"/>
  <c r="W73" i="18" s="1"/>
  <c r="W74" i="18" s="1"/>
  <c r="W75" i="18" s="1"/>
  <c r="W76" i="18" s="1"/>
  <c r="W77" i="18" s="1"/>
  <c r="W78" i="18" s="1"/>
  <c r="W79" i="18" s="1"/>
  <c r="W80" i="18" s="1"/>
  <c r="X5" i="18"/>
  <c r="X6" i="18" s="1"/>
  <c r="X7" i="18" s="1"/>
  <c r="X8" i="18" s="1"/>
  <c r="X9" i="18" s="1"/>
  <c r="X10" i="18" s="1"/>
  <c r="X11" i="18" s="1"/>
  <c r="X12" i="18" s="1"/>
  <c r="X13" i="18" s="1"/>
  <c r="X14" i="18" s="1"/>
  <c r="X15" i="18" s="1"/>
  <c r="X16" i="18" s="1"/>
  <c r="X17" i="18" s="1"/>
  <c r="X18" i="18" s="1"/>
  <c r="X19" i="18" s="1"/>
  <c r="X20" i="18" s="1"/>
  <c r="X21" i="18" s="1"/>
  <c r="X22" i="18" s="1"/>
  <c r="X23" i="18" s="1"/>
  <c r="X24" i="18" s="1"/>
  <c r="X25" i="18" s="1"/>
  <c r="X26" i="18" s="1"/>
  <c r="X27" i="18" s="1"/>
  <c r="X28" i="18" s="1"/>
  <c r="X29" i="18" s="1"/>
  <c r="X30" i="18" s="1"/>
  <c r="X31" i="18" s="1"/>
  <c r="X32" i="18" s="1"/>
  <c r="X33" i="18" s="1"/>
  <c r="X34" i="18" s="1"/>
  <c r="X35" i="18" s="1"/>
  <c r="X36" i="18" s="1"/>
  <c r="X37" i="18" s="1"/>
  <c r="X38" i="18" s="1"/>
  <c r="X39" i="18" s="1"/>
  <c r="X40" i="18" s="1"/>
  <c r="W5" i="18"/>
  <c r="W6" i="18" s="1"/>
  <c r="W7" i="18" s="1"/>
  <c r="W8" i="18" s="1"/>
  <c r="W9" i="18" s="1"/>
  <c r="W10" i="18" s="1"/>
  <c r="W11" i="18" s="1"/>
  <c r="W12" i="18" s="1"/>
  <c r="W13" i="18" s="1"/>
  <c r="W14" i="18" s="1"/>
  <c r="W15" i="18" s="1"/>
  <c r="W16" i="18" s="1"/>
  <c r="W17" i="18" s="1"/>
  <c r="W18" i="18" s="1"/>
  <c r="W19" i="18" s="1"/>
  <c r="W20" i="18" s="1"/>
  <c r="W21" i="18" s="1"/>
  <c r="W22" i="18" s="1"/>
  <c r="W23" i="18" s="1"/>
  <c r="W24" i="18" s="1"/>
  <c r="W25" i="18" s="1"/>
  <c r="W26" i="18" s="1"/>
  <c r="W27" i="18" s="1"/>
  <c r="W28" i="18" s="1"/>
  <c r="W29" i="18" s="1"/>
  <c r="W30" i="18" s="1"/>
  <c r="W31" i="18" s="1"/>
  <c r="W32" i="18" s="1"/>
  <c r="W33" i="18" s="1"/>
  <c r="W34" i="18" s="1"/>
  <c r="W35" i="18" s="1"/>
  <c r="W36" i="18" s="1"/>
  <c r="W37" i="18" s="1"/>
  <c r="W38" i="18" s="1"/>
  <c r="W39" i="18" s="1"/>
  <c r="W40" i="18" s="1"/>
  <c r="L165" i="18"/>
  <c r="L164" i="18"/>
  <c r="P164" i="18" s="1"/>
  <c r="L166" i="18"/>
  <c r="L167" i="18"/>
  <c r="L168" i="18"/>
  <c r="L169" i="18"/>
  <c r="L170" i="18"/>
  <c r="L171" i="18"/>
  <c r="L172" i="18"/>
  <c r="L173" i="18"/>
  <c r="L174" i="18"/>
  <c r="L175" i="18"/>
  <c r="K164" i="18"/>
  <c r="O164" i="18" s="1"/>
  <c r="K175" i="18"/>
  <c r="K174" i="18"/>
  <c r="K173" i="18"/>
  <c r="K172" i="18"/>
  <c r="K171" i="18"/>
  <c r="K170" i="18"/>
  <c r="K169" i="18"/>
  <c r="K168" i="18"/>
  <c r="K167" i="18"/>
  <c r="K166" i="18"/>
  <c r="K165" i="18"/>
  <c r="P125" i="18"/>
  <c r="P126" i="18"/>
  <c r="P127" i="18"/>
  <c r="P128" i="18"/>
  <c r="P129" i="18"/>
  <c r="P130" i="18"/>
  <c r="P131" i="18"/>
  <c r="P132" i="18"/>
  <c r="P133" i="18"/>
  <c r="P134" i="18"/>
  <c r="P135" i="18"/>
  <c r="P136" i="18"/>
  <c r="O125" i="18"/>
  <c r="O126" i="18"/>
  <c r="O127" i="18"/>
  <c r="O128" i="18"/>
  <c r="O129" i="18"/>
  <c r="O130" i="18"/>
  <c r="O131" i="18"/>
  <c r="O132" i="18"/>
  <c r="O133" i="18"/>
  <c r="O134" i="18"/>
  <c r="O135" i="18"/>
  <c r="O136" i="18"/>
  <c r="P86" i="18"/>
  <c r="P87" i="18"/>
  <c r="P88" i="18"/>
  <c r="P89" i="18"/>
  <c r="P90" i="18"/>
  <c r="P91" i="18"/>
  <c r="P92" i="18"/>
  <c r="P93" i="18"/>
  <c r="P94" i="18"/>
  <c r="P95" i="18"/>
  <c r="P96" i="18"/>
  <c r="P85" i="18"/>
  <c r="O86" i="18"/>
  <c r="O87" i="18"/>
  <c r="O88" i="18"/>
  <c r="O89" i="18"/>
  <c r="O90" i="18"/>
  <c r="O91" i="18"/>
  <c r="O92" i="18"/>
  <c r="O93" i="18"/>
  <c r="O94" i="18"/>
  <c r="O95" i="18"/>
  <c r="O96" i="18"/>
  <c r="O85" i="18"/>
  <c r="P45" i="18"/>
  <c r="P46" i="18" s="1"/>
  <c r="O45" i="18"/>
  <c r="O46" i="18" s="1"/>
  <c r="O47" i="18" s="1"/>
  <c r="P5" i="18"/>
  <c r="P6" i="18" s="1"/>
  <c r="P7" i="18" s="1"/>
  <c r="P8" i="18" s="1"/>
  <c r="P9" i="18" s="1"/>
  <c r="P10" i="18" s="1"/>
  <c r="P11" i="18" s="1"/>
  <c r="P12" i="18" s="1"/>
  <c r="P13" i="18" s="1"/>
  <c r="P14" i="18" s="1"/>
  <c r="P15" i="18" s="1"/>
  <c r="P16" i="18" s="1"/>
  <c r="P17" i="18" s="1"/>
  <c r="P18" i="18" s="1"/>
  <c r="P19" i="18" s="1"/>
  <c r="P20" i="18" s="1"/>
  <c r="P21" i="18" s="1"/>
  <c r="P22" i="18" s="1"/>
  <c r="P23" i="18" s="1"/>
  <c r="P24" i="18" s="1"/>
  <c r="P25" i="18" s="1"/>
  <c r="P26" i="18" s="1"/>
  <c r="P27" i="18" s="1"/>
  <c r="P28" i="18" s="1"/>
  <c r="P29" i="18" s="1"/>
  <c r="P30" i="18" s="1"/>
  <c r="P31" i="18" s="1"/>
  <c r="P32" i="18" s="1"/>
  <c r="P33" i="18" s="1"/>
  <c r="P34" i="18" s="1"/>
  <c r="P35" i="18" s="1"/>
  <c r="P36" i="18" s="1"/>
  <c r="P37" i="18" s="1"/>
  <c r="P38" i="18" s="1"/>
  <c r="P39" i="18" s="1"/>
  <c r="P40" i="18" s="1"/>
  <c r="O5" i="18"/>
  <c r="O6" i="18" s="1"/>
  <c r="O7" i="18" s="1"/>
  <c r="O8" i="18" s="1"/>
  <c r="O9" i="18" s="1"/>
  <c r="O10" i="18" s="1"/>
  <c r="O11" i="18" s="1"/>
  <c r="O12" i="18" s="1"/>
  <c r="O13" i="18" s="1"/>
  <c r="O14" i="18" s="1"/>
  <c r="O15" i="18" s="1"/>
  <c r="O16" i="18" s="1"/>
  <c r="O17" i="18" s="1"/>
  <c r="O18" i="18" s="1"/>
  <c r="O19" i="18" s="1"/>
  <c r="O20" i="18" s="1"/>
  <c r="O21" i="18" s="1"/>
  <c r="O22" i="18" s="1"/>
  <c r="O23" i="18" s="1"/>
  <c r="O24" i="18" s="1"/>
  <c r="O25" i="18" s="1"/>
  <c r="O26" i="18" s="1"/>
  <c r="O27" i="18" s="1"/>
  <c r="O28" i="18" s="1"/>
  <c r="O29" i="18" s="1"/>
  <c r="O30" i="18" s="1"/>
  <c r="O31" i="18" s="1"/>
  <c r="O32" i="18" s="1"/>
  <c r="O33" i="18" s="1"/>
  <c r="O34" i="18" s="1"/>
  <c r="O35" i="18" s="1"/>
  <c r="O36" i="18" s="1"/>
  <c r="O37" i="18" s="1"/>
  <c r="O38" i="18" s="1"/>
  <c r="O39" i="18" s="1"/>
  <c r="O40" i="18" s="1"/>
  <c r="D164" i="18"/>
  <c r="H164" i="18" s="1"/>
  <c r="D165" i="18"/>
  <c r="D166" i="18"/>
  <c r="D167" i="18"/>
  <c r="D168" i="18"/>
  <c r="D169" i="18"/>
  <c r="D170" i="18"/>
  <c r="D171" i="18"/>
  <c r="D172" i="18"/>
  <c r="D173" i="18"/>
  <c r="D174" i="18"/>
  <c r="D175" i="18"/>
  <c r="C165" i="18"/>
  <c r="C166" i="18"/>
  <c r="C167" i="18"/>
  <c r="C168" i="18"/>
  <c r="C169" i="18"/>
  <c r="C170" i="18"/>
  <c r="C171" i="18"/>
  <c r="C172" i="18"/>
  <c r="C173" i="18"/>
  <c r="C174" i="18"/>
  <c r="C175" i="18"/>
  <c r="C92" i="18"/>
  <c r="D85" i="18"/>
  <c r="D125" i="18" s="1"/>
  <c r="D86" i="18"/>
  <c r="D126" i="18" s="1"/>
  <c r="D87" i="18"/>
  <c r="D127" i="18" s="1"/>
  <c r="D88" i="18"/>
  <c r="D128" i="18" s="1"/>
  <c r="D89" i="18"/>
  <c r="D129" i="18" s="1"/>
  <c r="D90" i="18"/>
  <c r="D130" i="18" s="1"/>
  <c r="D91" i="18"/>
  <c r="D131" i="18" s="1"/>
  <c r="D92" i="18"/>
  <c r="D132" i="18" s="1"/>
  <c r="D93" i="18"/>
  <c r="D133" i="18" s="1"/>
  <c r="D94" i="18"/>
  <c r="D134" i="18" s="1"/>
  <c r="D95" i="18"/>
  <c r="D135" i="18" s="1"/>
  <c r="D96" i="18"/>
  <c r="D136" i="18" s="1"/>
  <c r="C86" i="18"/>
  <c r="C87" i="18"/>
  <c r="C88" i="18"/>
  <c r="C89" i="18"/>
  <c r="C90" i="18"/>
  <c r="C91" i="18"/>
  <c r="C93" i="18"/>
  <c r="C94" i="18"/>
  <c r="C95" i="18"/>
  <c r="C96" i="18"/>
  <c r="C85" i="18"/>
  <c r="H45" i="18"/>
  <c r="H46" i="18" s="1"/>
  <c r="H47" i="18" s="1"/>
  <c r="H48" i="18" s="1"/>
  <c r="H49" i="18" s="1"/>
  <c r="H50" i="18" s="1"/>
  <c r="H51" i="18" s="1"/>
  <c r="H52" i="18" s="1"/>
  <c r="H53" i="18" s="1"/>
  <c r="H54" i="18" s="1"/>
  <c r="H55" i="18" s="1"/>
  <c r="H56" i="18" s="1"/>
  <c r="H57" i="18" s="1"/>
  <c r="H58" i="18" s="1"/>
  <c r="H59" i="18" s="1"/>
  <c r="H60" i="18" s="1"/>
  <c r="H61" i="18" s="1"/>
  <c r="H62" i="18" s="1"/>
  <c r="H63" i="18" s="1"/>
  <c r="H64" i="18" s="1"/>
  <c r="H65" i="18" s="1"/>
  <c r="H66" i="18" s="1"/>
  <c r="H67" i="18" s="1"/>
  <c r="H68" i="18" s="1"/>
  <c r="H69" i="18" s="1"/>
  <c r="H70" i="18" s="1"/>
  <c r="H71" i="18" s="1"/>
  <c r="H72" i="18" s="1"/>
  <c r="H73" i="18" s="1"/>
  <c r="H74" i="18" s="1"/>
  <c r="H75" i="18" s="1"/>
  <c r="H76" i="18" s="1"/>
  <c r="H77" i="18" s="1"/>
  <c r="H78" i="18" s="1"/>
  <c r="H79" i="18" s="1"/>
  <c r="H80" i="18" s="1"/>
  <c r="G45" i="18"/>
  <c r="G46" i="18" s="1"/>
  <c r="G47" i="18" s="1"/>
  <c r="G48" i="18" s="1"/>
  <c r="G49" i="18" s="1"/>
  <c r="G50" i="18" s="1"/>
  <c r="G51" i="18" s="1"/>
  <c r="G52" i="18" s="1"/>
  <c r="G53" i="18" s="1"/>
  <c r="G54" i="18" s="1"/>
  <c r="G55" i="18" s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71" i="18" s="1"/>
  <c r="G72" i="18" s="1"/>
  <c r="G73" i="18" s="1"/>
  <c r="G74" i="18" s="1"/>
  <c r="G75" i="18" s="1"/>
  <c r="G76" i="18" s="1"/>
  <c r="G77" i="18" s="1"/>
  <c r="G78" i="18" s="1"/>
  <c r="G79" i="18" s="1"/>
  <c r="G80" i="18" s="1"/>
  <c r="H5" i="18"/>
  <c r="H6" i="18" s="1"/>
  <c r="H7" i="18" s="1"/>
  <c r="H8" i="18" s="1"/>
  <c r="H9" i="18" s="1"/>
  <c r="H10" i="18" s="1"/>
  <c r="H11" i="18" s="1"/>
  <c r="H12" i="18" s="1"/>
  <c r="H13" i="18" s="1"/>
  <c r="H14" i="18" s="1"/>
  <c r="H15" i="18" s="1"/>
  <c r="H16" i="18" s="1"/>
  <c r="H17" i="18" s="1"/>
  <c r="H18" i="18" s="1"/>
  <c r="H19" i="18" s="1"/>
  <c r="H20" i="18" s="1"/>
  <c r="H21" i="18" s="1"/>
  <c r="H22" i="18" s="1"/>
  <c r="H23" i="18" s="1"/>
  <c r="H24" i="18" s="1"/>
  <c r="H25" i="18" s="1"/>
  <c r="H26" i="18" s="1"/>
  <c r="H27" i="18" s="1"/>
  <c r="H28" i="18" s="1"/>
  <c r="H29" i="18" s="1"/>
  <c r="H30" i="18" s="1"/>
  <c r="H31" i="18" s="1"/>
  <c r="H32" i="18" s="1"/>
  <c r="H33" i="18" s="1"/>
  <c r="H34" i="18" s="1"/>
  <c r="H35" i="18" s="1"/>
  <c r="H36" i="18" s="1"/>
  <c r="H37" i="18" s="1"/>
  <c r="H38" i="18" s="1"/>
  <c r="H39" i="18" s="1"/>
  <c r="H40" i="18" s="1"/>
  <c r="G5" i="18"/>
  <c r="G6" i="18" s="1"/>
  <c r="G7" i="18" s="1"/>
  <c r="G8" i="18" s="1"/>
  <c r="G9" i="18" s="1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X165" i="18" l="1"/>
  <c r="W165" i="18"/>
  <c r="W166" i="18" s="1"/>
  <c r="W167" i="18" s="1"/>
  <c r="W168" i="18" s="1"/>
  <c r="W169" i="18" s="1"/>
  <c r="W170" i="18" s="1"/>
  <c r="W171" i="18" s="1"/>
  <c r="W172" i="18" s="1"/>
  <c r="W173" i="18" s="1"/>
  <c r="W174" i="18" s="1"/>
  <c r="W175" i="18" s="1"/>
  <c r="W176" i="18" s="1"/>
  <c r="W177" i="18" s="1"/>
  <c r="W178" i="18" s="1"/>
  <c r="W179" i="18" s="1"/>
  <c r="W180" i="18" s="1"/>
  <c r="W181" i="18" s="1"/>
  <c r="W182" i="18" s="1"/>
  <c r="W183" i="18" s="1"/>
  <c r="W184" i="18" s="1"/>
  <c r="W185" i="18" s="1"/>
  <c r="W186" i="18" s="1"/>
  <c r="W187" i="18" s="1"/>
  <c r="W188" i="18" s="1"/>
  <c r="W189" i="18" s="1"/>
  <c r="W190" i="18" s="1"/>
  <c r="W191" i="18" s="1"/>
  <c r="W192" i="18" s="1"/>
  <c r="W193" i="18" s="1"/>
  <c r="W194" i="18" s="1"/>
  <c r="W195" i="18" s="1"/>
  <c r="W196" i="18" s="1"/>
  <c r="W197" i="18" s="1"/>
  <c r="W198" i="18" s="1"/>
  <c r="W199" i="18" s="1"/>
  <c r="AE165" i="18"/>
  <c r="AE166" i="18" s="1"/>
  <c r="AE167" i="18" s="1"/>
  <c r="AE168" i="18" s="1"/>
  <c r="AE169" i="18" s="1"/>
  <c r="AE170" i="18" s="1"/>
  <c r="AE171" i="18" s="1"/>
  <c r="AE172" i="18" s="1"/>
  <c r="AE173" i="18" s="1"/>
  <c r="AE174" i="18" s="1"/>
  <c r="AE175" i="18" s="1"/>
  <c r="AE176" i="18" s="1"/>
  <c r="AE177" i="18" s="1"/>
  <c r="AE178" i="18" s="1"/>
  <c r="AE179" i="18" s="1"/>
  <c r="AE180" i="18" s="1"/>
  <c r="AE181" i="18" s="1"/>
  <c r="AE182" i="18" s="1"/>
  <c r="AE183" i="18" s="1"/>
  <c r="AE184" i="18" s="1"/>
  <c r="AE185" i="18" s="1"/>
  <c r="AE186" i="18" s="1"/>
  <c r="AE187" i="18" s="1"/>
  <c r="AE188" i="18" s="1"/>
  <c r="AE189" i="18" s="1"/>
  <c r="AE190" i="18" s="1"/>
  <c r="AE191" i="18" s="1"/>
  <c r="AE192" i="18" s="1"/>
  <c r="AE193" i="18" s="1"/>
  <c r="AE194" i="18" s="1"/>
  <c r="AE195" i="18" s="1"/>
  <c r="AE196" i="18" s="1"/>
  <c r="AE197" i="18" s="1"/>
  <c r="AE198" i="18" s="1"/>
  <c r="AE199" i="18" s="1"/>
  <c r="X166" i="18"/>
  <c r="X167" i="18" s="1"/>
  <c r="X168" i="18" s="1"/>
  <c r="X169" i="18" s="1"/>
  <c r="X170" i="18" s="1"/>
  <c r="X171" i="18" s="1"/>
  <c r="X172" i="18" s="1"/>
  <c r="X173" i="18" s="1"/>
  <c r="X174" i="18" s="1"/>
  <c r="X175" i="18" s="1"/>
  <c r="X176" i="18" s="1"/>
  <c r="X177" i="18" s="1"/>
  <c r="X178" i="18" s="1"/>
  <c r="X179" i="18" s="1"/>
  <c r="X180" i="18" s="1"/>
  <c r="X181" i="18" s="1"/>
  <c r="X182" i="18" s="1"/>
  <c r="X183" i="18" s="1"/>
  <c r="X184" i="18" s="1"/>
  <c r="X185" i="18" s="1"/>
  <c r="X186" i="18" s="1"/>
  <c r="X187" i="18" s="1"/>
  <c r="X188" i="18" s="1"/>
  <c r="X189" i="18" s="1"/>
  <c r="X190" i="18" s="1"/>
  <c r="X191" i="18" s="1"/>
  <c r="X192" i="18" s="1"/>
  <c r="X193" i="18" s="1"/>
  <c r="X194" i="18" s="1"/>
  <c r="X195" i="18" s="1"/>
  <c r="X196" i="18" s="1"/>
  <c r="X197" i="18" s="1"/>
  <c r="X198" i="18" s="1"/>
  <c r="X199" i="18" s="1"/>
  <c r="AF165" i="18"/>
  <c r="AF166" i="18" s="1"/>
  <c r="AF167" i="18" s="1"/>
  <c r="AF168" i="18" s="1"/>
  <c r="AF169" i="18" s="1"/>
  <c r="AF170" i="18" s="1"/>
  <c r="AF171" i="18" s="1"/>
  <c r="AF172" i="18" s="1"/>
  <c r="AF173" i="18" s="1"/>
  <c r="AF174" i="18" s="1"/>
  <c r="AF175" i="18" s="1"/>
  <c r="AF176" i="18" s="1"/>
  <c r="AF177" i="18" s="1"/>
  <c r="AF178" i="18" s="1"/>
  <c r="AF179" i="18" s="1"/>
  <c r="AF180" i="18" s="1"/>
  <c r="AF181" i="18" s="1"/>
  <c r="AF182" i="18" s="1"/>
  <c r="AF183" i="18" s="1"/>
  <c r="AF184" i="18" s="1"/>
  <c r="AF185" i="18" s="1"/>
  <c r="AF186" i="18" s="1"/>
  <c r="AF187" i="18" s="1"/>
  <c r="AF188" i="18" s="1"/>
  <c r="AF189" i="18" s="1"/>
  <c r="AF190" i="18" s="1"/>
  <c r="AF191" i="18" s="1"/>
  <c r="AF192" i="18" s="1"/>
  <c r="AF193" i="18" s="1"/>
  <c r="AF194" i="18" s="1"/>
  <c r="AF195" i="18" s="1"/>
  <c r="AF196" i="18" s="1"/>
  <c r="AF197" i="18" s="1"/>
  <c r="AF198" i="18" s="1"/>
  <c r="AF199" i="18" s="1"/>
  <c r="C129" i="18"/>
  <c r="AA49" i="18"/>
  <c r="C132" i="18"/>
  <c r="AA52" i="18"/>
  <c r="C136" i="18"/>
  <c r="AA56" i="18"/>
  <c r="C128" i="18"/>
  <c r="AA48" i="18"/>
  <c r="C135" i="18"/>
  <c r="AA55" i="18"/>
  <c r="C126" i="18"/>
  <c r="AA46" i="18"/>
  <c r="C127" i="18"/>
  <c r="AA47" i="18"/>
  <c r="C134" i="18"/>
  <c r="AA54" i="18"/>
  <c r="C138" i="18"/>
  <c r="AA58" i="18"/>
  <c r="C125" i="18"/>
  <c r="AA45" i="18"/>
  <c r="C133" i="18"/>
  <c r="AA53" i="18"/>
  <c r="C131" i="18"/>
  <c r="AA51" i="18"/>
  <c r="C130" i="18"/>
  <c r="AA50" i="18"/>
  <c r="P165" i="18"/>
  <c r="P166" i="18" s="1"/>
  <c r="P167" i="18" s="1"/>
  <c r="P168" i="18" s="1"/>
  <c r="P169" i="18" s="1"/>
  <c r="P170" i="18" s="1"/>
  <c r="P171" i="18" s="1"/>
  <c r="P172" i="18" s="1"/>
  <c r="P173" i="18" s="1"/>
  <c r="P174" i="18" s="1"/>
  <c r="P175" i="18" s="1"/>
  <c r="P176" i="18" s="1"/>
  <c r="P177" i="18" s="1"/>
  <c r="P178" i="18" s="1"/>
  <c r="P179" i="18" s="1"/>
  <c r="P180" i="18" s="1"/>
  <c r="P181" i="18" s="1"/>
  <c r="P182" i="18" s="1"/>
  <c r="P183" i="18" s="1"/>
  <c r="P184" i="18" s="1"/>
  <c r="P185" i="18" s="1"/>
  <c r="P186" i="18" s="1"/>
  <c r="P187" i="18" s="1"/>
  <c r="P188" i="18" s="1"/>
  <c r="P189" i="18" s="1"/>
  <c r="P190" i="18" s="1"/>
  <c r="P191" i="18" s="1"/>
  <c r="P192" i="18" s="1"/>
  <c r="P193" i="18" s="1"/>
  <c r="P194" i="18" s="1"/>
  <c r="P195" i="18" s="1"/>
  <c r="P196" i="18" s="1"/>
  <c r="P197" i="18" s="1"/>
  <c r="P198" i="18" s="1"/>
  <c r="P199" i="18" s="1"/>
  <c r="C20" i="18"/>
  <c r="C179" i="18" s="1"/>
  <c r="C99" i="18"/>
  <c r="G164" i="18"/>
  <c r="G165" i="18" s="1"/>
  <c r="G166" i="18" s="1"/>
  <c r="G85" i="18"/>
  <c r="G86" i="18" s="1"/>
  <c r="G87" i="18" s="1"/>
  <c r="AE45" i="18"/>
  <c r="O165" i="18"/>
  <c r="O166" i="18" s="1"/>
  <c r="O167" i="18" s="1"/>
  <c r="O168" i="18" s="1"/>
  <c r="O169" i="18" s="1"/>
  <c r="O170" i="18" s="1"/>
  <c r="O171" i="18" s="1"/>
  <c r="O172" i="18" s="1"/>
  <c r="O173" i="18" s="1"/>
  <c r="O174" i="18" s="1"/>
  <c r="O175" i="18" s="1"/>
  <c r="O176" i="18" s="1"/>
  <c r="O177" i="18" s="1"/>
  <c r="O178" i="18" s="1"/>
  <c r="O179" i="18" s="1"/>
  <c r="O180" i="18" s="1"/>
  <c r="O181" i="18" s="1"/>
  <c r="O182" i="18" s="1"/>
  <c r="O183" i="18" s="1"/>
  <c r="O184" i="18" s="1"/>
  <c r="O185" i="18" s="1"/>
  <c r="O186" i="18" s="1"/>
  <c r="O187" i="18" s="1"/>
  <c r="O188" i="18" s="1"/>
  <c r="O189" i="18" s="1"/>
  <c r="O190" i="18" s="1"/>
  <c r="O191" i="18" s="1"/>
  <c r="O192" i="18" s="1"/>
  <c r="O193" i="18" s="1"/>
  <c r="O194" i="18" s="1"/>
  <c r="O195" i="18" s="1"/>
  <c r="O196" i="18" s="1"/>
  <c r="O197" i="18" s="1"/>
  <c r="O198" i="18" s="1"/>
  <c r="O199" i="18" s="1"/>
  <c r="H165" i="18"/>
  <c r="H166" i="18" s="1"/>
  <c r="H167" i="18" s="1"/>
  <c r="H168" i="18" s="1"/>
  <c r="H169" i="18" s="1"/>
  <c r="K17" i="13"/>
  <c r="L17" i="13"/>
  <c r="G31" i="13"/>
  <c r="L31" i="13"/>
  <c r="F31" i="13"/>
  <c r="K31" i="13"/>
  <c r="O48" i="18"/>
  <c r="O49" i="18" s="1"/>
  <c r="O50" i="18" s="1"/>
  <c r="O51" i="18" s="1"/>
  <c r="O52" i="18" s="1"/>
  <c r="O53" i="18" s="1"/>
  <c r="O54" i="18" s="1"/>
  <c r="O55" i="18" s="1"/>
  <c r="O56" i="18" s="1"/>
  <c r="O57" i="18" s="1"/>
  <c r="O58" i="18" s="1"/>
  <c r="O59" i="18" s="1"/>
  <c r="O60" i="18" s="1"/>
  <c r="O61" i="18" s="1"/>
  <c r="O62" i="18" s="1"/>
  <c r="O63" i="18" s="1"/>
  <c r="O64" i="18" s="1"/>
  <c r="O65" i="18" s="1"/>
  <c r="P47" i="18"/>
  <c r="P48" i="18" s="1"/>
  <c r="P49" i="18" s="1"/>
  <c r="P50" i="18" s="1"/>
  <c r="P51" i="18" s="1"/>
  <c r="P52" i="18" s="1"/>
  <c r="P53" i="18" s="1"/>
  <c r="P54" i="18" s="1"/>
  <c r="P55" i="18" s="1"/>
  <c r="P56" i="18" s="1"/>
  <c r="P57" i="18" s="1"/>
  <c r="P58" i="18" s="1"/>
  <c r="P59" i="18" s="1"/>
  <c r="P60" i="18" s="1"/>
  <c r="P61" i="18" s="1"/>
  <c r="P62" i="18" s="1"/>
  <c r="P63" i="18" s="1"/>
  <c r="P64" i="18" s="1"/>
  <c r="P65" i="18" s="1"/>
  <c r="P66" i="18" s="1"/>
  <c r="P67" i="18" s="1"/>
  <c r="P68" i="18" s="1"/>
  <c r="P69" i="18" s="1"/>
  <c r="P70" i="18" s="1"/>
  <c r="P71" i="18" s="1"/>
  <c r="P72" i="18" s="1"/>
  <c r="P73" i="18" s="1"/>
  <c r="P74" i="18" s="1"/>
  <c r="P75" i="18" s="1"/>
  <c r="P76" i="18" s="1"/>
  <c r="P77" i="18" s="1"/>
  <c r="P78" i="18" s="1"/>
  <c r="P79" i="18" s="1"/>
  <c r="P80" i="18" s="1"/>
  <c r="H85" i="18"/>
  <c r="H86" i="18" s="1"/>
  <c r="G17" i="13"/>
  <c r="O66" i="18" l="1"/>
  <c r="O67" i="18" s="1"/>
  <c r="O68" i="18" s="1"/>
  <c r="O69" i="18" s="1"/>
  <c r="O70" i="18" s="1"/>
  <c r="O71" i="18" s="1"/>
  <c r="O72" i="18" s="1"/>
  <c r="O73" i="18" s="1"/>
  <c r="O74" i="18" s="1"/>
  <c r="O75" i="18" s="1"/>
  <c r="O76" i="18" s="1"/>
  <c r="O77" i="18" s="1"/>
  <c r="O78" i="18" s="1"/>
  <c r="O79" i="18" s="1"/>
  <c r="O80" i="18" s="1"/>
  <c r="C139" i="18"/>
  <c r="AA59" i="18"/>
  <c r="C21" i="18"/>
  <c r="C180" i="18" s="1"/>
  <c r="C100" i="18"/>
  <c r="G20" i="18"/>
  <c r="G126" i="18"/>
  <c r="G125" i="18"/>
  <c r="H125" i="18"/>
  <c r="AE46" i="18"/>
  <c r="AE47" i="18" s="1"/>
  <c r="AE48" i="18" s="1"/>
  <c r="AE49" i="18" s="1"/>
  <c r="AE50" i="18" s="1"/>
  <c r="AE51" i="18" s="1"/>
  <c r="AE52" i="18" s="1"/>
  <c r="AE53" i="18" s="1"/>
  <c r="AE54" i="18" s="1"/>
  <c r="AE55" i="18" s="1"/>
  <c r="AE56" i="18" s="1"/>
  <c r="AE57" i="18" s="1"/>
  <c r="AE58" i="18" s="1"/>
  <c r="M31" i="13"/>
  <c r="M17" i="13"/>
  <c r="H31" i="13"/>
  <c r="G167" i="18"/>
  <c r="G168" i="18" s="1"/>
  <c r="G169" i="18" s="1"/>
  <c r="G170" i="18" s="1"/>
  <c r="G171" i="18" s="1"/>
  <c r="G172" i="18" s="1"/>
  <c r="G173" i="18" s="1"/>
  <c r="G174" i="18" s="1"/>
  <c r="G175" i="18" s="1"/>
  <c r="G176" i="18" s="1"/>
  <c r="G177" i="18" s="1"/>
  <c r="G178" i="18" s="1"/>
  <c r="G179" i="18" s="1"/>
  <c r="H170" i="18"/>
  <c r="H171" i="18" s="1"/>
  <c r="H172" i="18" s="1"/>
  <c r="H173" i="18" s="1"/>
  <c r="H174" i="18" s="1"/>
  <c r="H175" i="18" s="1"/>
  <c r="H176" i="18" s="1"/>
  <c r="H177" i="18" s="1"/>
  <c r="H178" i="18" s="1"/>
  <c r="H179" i="18" s="1"/>
  <c r="H180" i="18" s="1"/>
  <c r="H181" i="18" s="1"/>
  <c r="H182" i="18" s="1"/>
  <c r="H183" i="18" s="1"/>
  <c r="H184" i="18" s="1"/>
  <c r="H185" i="18" s="1"/>
  <c r="H186" i="18" s="1"/>
  <c r="H187" i="18" s="1"/>
  <c r="H188" i="18" s="1"/>
  <c r="H189" i="18" s="1"/>
  <c r="H190" i="18" s="1"/>
  <c r="H191" i="18" s="1"/>
  <c r="H192" i="18" s="1"/>
  <c r="H193" i="18" s="1"/>
  <c r="H194" i="18" s="1"/>
  <c r="H195" i="18" s="1"/>
  <c r="H196" i="18" s="1"/>
  <c r="H197" i="18" s="1"/>
  <c r="H198" i="18" s="1"/>
  <c r="H199" i="18" s="1"/>
  <c r="L18" i="13"/>
  <c r="L209" i="18" s="1"/>
  <c r="K18" i="13"/>
  <c r="L208" i="18" s="1"/>
  <c r="H87" i="18"/>
  <c r="H126" i="18"/>
  <c r="G88" i="18"/>
  <c r="G127" i="18"/>
  <c r="G18" i="13" l="1"/>
  <c r="G180" i="18"/>
  <c r="G21" i="18"/>
  <c r="AE59" i="18"/>
  <c r="AA60" i="18"/>
  <c r="C140" i="18"/>
  <c r="C22" i="18"/>
  <c r="C101" i="18"/>
  <c r="L32" i="13"/>
  <c r="AB209" i="18" s="1"/>
  <c r="AB207" i="18" s="1"/>
  <c r="G32" i="13"/>
  <c r="T209" i="18" s="1"/>
  <c r="T205" i="18" s="1"/>
  <c r="F32" i="13"/>
  <c r="T208" i="18" s="1"/>
  <c r="K32" i="13"/>
  <c r="L204" i="18"/>
  <c r="L205" i="18"/>
  <c r="L206" i="18"/>
  <c r="L207" i="18"/>
  <c r="M18" i="13"/>
  <c r="G89" i="18"/>
  <c r="G128" i="18"/>
  <c r="H88" i="18"/>
  <c r="H127" i="18"/>
  <c r="D209" i="18" l="1"/>
  <c r="G22" i="18"/>
  <c r="C181" i="18"/>
  <c r="G181" i="18" s="1"/>
  <c r="AE60" i="18"/>
  <c r="AA61" i="18"/>
  <c r="C141" i="18"/>
  <c r="C23" i="18"/>
  <c r="C102" i="18"/>
  <c r="AB206" i="18"/>
  <c r="AB205" i="18"/>
  <c r="AB208" i="18"/>
  <c r="M32" i="13"/>
  <c r="AB204" i="18"/>
  <c r="T204" i="18"/>
  <c r="T207" i="18"/>
  <c r="T206" i="18"/>
  <c r="H32" i="13"/>
  <c r="H89" i="18"/>
  <c r="H128" i="18"/>
  <c r="G90" i="18"/>
  <c r="G129" i="18"/>
  <c r="D207" i="18" l="1"/>
  <c r="D205" i="18"/>
  <c r="D206" i="18"/>
  <c r="D204" i="18"/>
  <c r="G23" i="18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C182" i="18"/>
  <c r="F17" i="13" s="1"/>
  <c r="H17" i="13" s="1"/>
  <c r="AE61" i="18"/>
  <c r="C142" i="18"/>
  <c r="AA62" i="18"/>
  <c r="C103" i="18"/>
  <c r="G91" i="18"/>
  <c r="G130" i="18"/>
  <c r="H90" i="18"/>
  <c r="H129" i="18"/>
  <c r="G182" i="18" l="1"/>
  <c r="AE62" i="18"/>
  <c r="C143" i="18"/>
  <c r="AA63" i="18"/>
  <c r="C104" i="18"/>
  <c r="H91" i="18"/>
  <c r="H130" i="18"/>
  <c r="G92" i="18"/>
  <c r="G131" i="18"/>
  <c r="G183" i="18" l="1"/>
  <c r="G184" i="18" s="1"/>
  <c r="G185" i="18" s="1"/>
  <c r="G186" i="18" s="1"/>
  <c r="G187" i="18" s="1"/>
  <c r="G188" i="18" s="1"/>
  <c r="G189" i="18" s="1"/>
  <c r="G190" i="18" s="1"/>
  <c r="G191" i="18" s="1"/>
  <c r="G192" i="18" s="1"/>
  <c r="G193" i="18" s="1"/>
  <c r="G194" i="18" s="1"/>
  <c r="G195" i="18" s="1"/>
  <c r="G196" i="18" s="1"/>
  <c r="G197" i="18" s="1"/>
  <c r="G198" i="18" s="1"/>
  <c r="G199" i="18" s="1"/>
  <c r="F18" i="13"/>
  <c r="AE63" i="18"/>
  <c r="AA64" i="18"/>
  <c r="C105" i="18"/>
  <c r="G93" i="18"/>
  <c r="G132" i="18"/>
  <c r="H92" i="18"/>
  <c r="H131" i="18"/>
  <c r="D208" i="18" l="1"/>
  <c r="H18" i="13"/>
  <c r="AE64" i="18"/>
  <c r="C145" i="18"/>
  <c r="AA65" i="18"/>
  <c r="C106" i="18"/>
  <c r="H93" i="18"/>
  <c r="H132" i="18"/>
  <c r="G94" i="18"/>
  <c r="G133" i="18"/>
  <c r="AE65" i="18" l="1"/>
  <c r="C146" i="18"/>
  <c r="AA66" i="18"/>
  <c r="C107" i="18"/>
  <c r="G95" i="18"/>
  <c r="G134" i="18"/>
  <c r="H94" i="18"/>
  <c r="H133" i="18"/>
  <c r="AE66" i="18" l="1"/>
  <c r="C147" i="18"/>
  <c r="AA67" i="18"/>
  <c r="C108" i="18"/>
  <c r="H95" i="18"/>
  <c r="H134" i="18"/>
  <c r="G96" i="18"/>
  <c r="G135" i="18"/>
  <c r="AE67" i="18" l="1"/>
  <c r="C148" i="18"/>
  <c r="AA68" i="18"/>
  <c r="G136" i="18"/>
  <c r="G97" i="18"/>
  <c r="C109" i="18"/>
  <c r="H96" i="18"/>
  <c r="H135" i="18"/>
  <c r="AE68" i="18" l="1"/>
  <c r="G98" i="18"/>
  <c r="G137" i="18"/>
  <c r="C149" i="18"/>
  <c r="AA69" i="18"/>
  <c r="C110" i="18"/>
  <c r="H136" i="18"/>
  <c r="H97" i="18"/>
  <c r="AE69" i="18" l="1"/>
  <c r="C150" i="18"/>
  <c r="AA70" i="18"/>
  <c r="G99" i="18"/>
  <c r="G138" i="18"/>
  <c r="H98" i="18"/>
  <c r="H137" i="18"/>
  <c r="C111" i="18"/>
  <c r="AA71" i="18" s="1"/>
  <c r="AE70" i="18" l="1"/>
  <c r="AE71" i="18" s="1"/>
  <c r="G100" i="18"/>
  <c r="G139" i="18"/>
  <c r="H99" i="18"/>
  <c r="H138" i="18"/>
  <c r="C151" i="18"/>
  <c r="C112" i="18"/>
  <c r="AA72" i="18" s="1"/>
  <c r="AE72" i="18" s="1"/>
  <c r="G101" i="18" l="1"/>
  <c r="G140" i="18"/>
  <c r="H100" i="18"/>
  <c r="H139" i="18"/>
  <c r="C152" i="18"/>
  <c r="C113" i="18"/>
  <c r="G102" i="18" l="1"/>
  <c r="G141" i="18"/>
  <c r="C153" i="18"/>
  <c r="AA73" i="18"/>
  <c r="AE73" i="18" s="1"/>
  <c r="H101" i="18"/>
  <c r="H140" i="18"/>
  <c r="C115" i="18"/>
  <c r="C114" i="18"/>
  <c r="C154" i="18" l="1"/>
  <c r="AA74" i="18"/>
  <c r="AE74" i="18"/>
  <c r="AE75" i="18" s="1"/>
  <c r="AE76" i="18" s="1"/>
  <c r="AE77" i="18" s="1"/>
  <c r="AE78" i="18" s="1"/>
  <c r="AE79" i="18" s="1"/>
  <c r="AE80" i="18" s="1"/>
  <c r="C155" i="18"/>
  <c r="AA75" i="18"/>
  <c r="G103" i="18"/>
  <c r="G142" i="18"/>
  <c r="H102" i="18"/>
  <c r="H141" i="18"/>
  <c r="G104" i="18" l="1"/>
  <c r="G143" i="18"/>
  <c r="H103" i="18"/>
  <c r="H142" i="18"/>
  <c r="G105" i="18" l="1"/>
  <c r="G144" i="18"/>
  <c r="H104" i="18"/>
  <c r="H143" i="18"/>
  <c r="G145" i="18" l="1"/>
  <c r="G106" i="18"/>
  <c r="H105" i="18"/>
  <c r="H144" i="18"/>
  <c r="G107" i="18" l="1"/>
  <c r="G146" i="18"/>
  <c r="H106" i="18"/>
  <c r="H145" i="18"/>
  <c r="G108" i="18" l="1"/>
  <c r="G147" i="18"/>
  <c r="H107" i="18"/>
  <c r="H146" i="18"/>
  <c r="G148" i="18" l="1"/>
  <c r="G109" i="18"/>
  <c r="H108" i="18"/>
  <c r="H147" i="18"/>
  <c r="G149" i="18" l="1"/>
  <c r="G110" i="18"/>
  <c r="H109" i="18"/>
  <c r="H148" i="18"/>
  <c r="G111" i="18" l="1"/>
  <c r="G150" i="18"/>
  <c r="H110" i="18"/>
  <c r="H149" i="18"/>
  <c r="G151" i="18" l="1"/>
  <c r="G112" i="18"/>
  <c r="H111" i="18"/>
  <c r="H150" i="18"/>
  <c r="G113" i="18" l="1"/>
  <c r="G152" i="18"/>
  <c r="H112" i="18"/>
  <c r="H151" i="18"/>
  <c r="G114" i="18" l="1"/>
  <c r="G153" i="18"/>
  <c r="H113" i="18"/>
  <c r="H152" i="18"/>
  <c r="G154" i="18" l="1"/>
  <c r="G115" i="18"/>
  <c r="H114" i="18"/>
  <c r="H153" i="18"/>
  <c r="G116" i="18" l="1"/>
  <c r="G155" i="18"/>
  <c r="H115" i="18"/>
  <c r="H154" i="18"/>
  <c r="G117" i="18" l="1"/>
  <c r="G156" i="18"/>
  <c r="H116" i="18"/>
  <c r="H155" i="18"/>
  <c r="G157" i="18" l="1"/>
  <c r="G118" i="18"/>
  <c r="H117" i="18"/>
  <c r="H156" i="18"/>
  <c r="G119" i="18" l="1"/>
  <c r="G158" i="18"/>
  <c r="H118" i="18"/>
  <c r="H157" i="18"/>
  <c r="G120" i="18" l="1"/>
  <c r="G160" i="18" s="1"/>
  <c r="G159" i="18"/>
  <c r="H119" i="18"/>
  <c r="H158" i="18"/>
  <c r="H120" i="18" l="1"/>
  <c r="H160" i="18" s="1"/>
  <c r="H159" i="18"/>
</calcChain>
</file>

<file path=xl/sharedStrings.xml><?xml version="1.0" encoding="utf-8"?>
<sst xmlns="http://schemas.openxmlformats.org/spreadsheetml/2006/main" count="227" uniqueCount="45">
  <si>
    <t>MTD</t>
  </si>
  <si>
    <t>YTD</t>
  </si>
  <si>
    <t>Spalte1</t>
  </si>
  <si>
    <t>Spalte2</t>
  </si>
  <si>
    <t>Spalte3</t>
  </si>
  <si>
    <t>WEBSITE</t>
  </si>
  <si>
    <t>Letzes Update</t>
  </si>
  <si>
    <t>Branche</t>
  </si>
  <si>
    <t>Blog</t>
  </si>
  <si>
    <t>ok</t>
  </si>
  <si>
    <t>Bullet Chart</t>
  </si>
  <si>
    <t>DATUM KIEZEN</t>
  </si>
  <si>
    <t>JAAR</t>
  </si>
  <si>
    <t>MAAND</t>
  </si>
  <si>
    <t>www.de-excel-specialist.nl</t>
  </si>
  <si>
    <t>De Excel Specialist</t>
  </si>
  <si>
    <t>Financiën</t>
  </si>
  <si>
    <t>Analyse</t>
  </si>
  <si>
    <t>Activiteiten</t>
  </si>
  <si>
    <t>Tijd</t>
  </si>
  <si>
    <t>Uitbetalingen</t>
  </si>
  <si>
    <t>Bezoeker</t>
  </si>
  <si>
    <t>Paginaweergaven</t>
  </si>
  <si>
    <t>Conversie</t>
  </si>
  <si>
    <t>Blog berichten</t>
  </si>
  <si>
    <t>E-maillijst</t>
  </si>
  <si>
    <t>Tijdsduur</t>
  </si>
  <si>
    <t>Werktijd</t>
  </si>
  <si>
    <t>Overuren</t>
  </si>
  <si>
    <t>Surplus</t>
  </si>
  <si>
    <t>Surplus quotum</t>
  </si>
  <si>
    <t>Deposito's</t>
  </si>
  <si>
    <t>Kerngetal lijst</t>
  </si>
  <si>
    <t>Realisatie</t>
  </si>
  <si>
    <t>Doel</t>
  </si>
  <si>
    <t>Kolom1</t>
  </si>
  <si>
    <t>PERSOONLIJK DASHBOARD</t>
  </si>
  <si>
    <t>Auteur</t>
  </si>
  <si>
    <t>Website</t>
  </si>
  <si>
    <t>slecht</t>
  </si>
  <si>
    <t>goed</t>
  </si>
  <si>
    <t>perfect</t>
  </si>
  <si>
    <t>Reaslisatie</t>
  </si>
  <si>
    <t>Versie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</si>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</sst>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"/>
    <numFmt numFmtId="166" formatCode=";;;"/>
    <numFmt numFmtId="167" formatCode="_-* #,##0\ _€_-;\-* #,##0\ _€_-;_-* &quot;-&quot;??\ _€_-;_-@_-"/>
    <numFmt numFmtId="170" formatCode="dd/mm/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4"/>
      <name val="Franklin Gothic Medium"/>
      <family val="2"/>
    </font>
    <font>
      <sz val="14"/>
      <color theme="1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1"/>
      <name val="Calibri Light"/>
      <family val="2"/>
    </font>
    <font>
      <b/>
      <sz val="34"/>
      <color rgb="FF009E6D"/>
      <name val="Calibri Light"/>
      <family val="2"/>
    </font>
    <font>
      <sz val="12"/>
      <color rgb="FF009E6D"/>
      <name val="Calibri Light"/>
      <family val="2"/>
    </font>
    <font>
      <b/>
      <sz val="12"/>
      <color rgb="FF009E6D"/>
      <name val="Calibri Light"/>
      <family val="2"/>
    </font>
    <font>
      <sz val="9"/>
      <color theme="0" tint="-4.9989318521683403E-2"/>
      <name val="Calibri Light"/>
      <family val="2"/>
    </font>
    <font>
      <sz val="20"/>
      <color theme="0"/>
      <name val="Calibri Light"/>
      <family val="2"/>
    </font>
    <font>
      <sz val="12"/>
      <color theme="1"/>
      <name val="Calibri Light"/>
      <family val="2"/>
    </font>
    <font>
      <b/>
      <sz val="60"/>
      <color rgb="FF009E6D"/>
      <name val="Calibri Light"/>
      <family val="2"/>
    </font>
    <font>
      <b/>
      <sz val="12"/>
      <color theme="1" tint="0.34998626667073579"/>
      <name val="Calibri Light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40"/>
      <color rgb="FF207245"/>
      <name val="Calibri Light"/>
      <family val="2"/>
    </font>
    <font>
      <b/>
      <sz val="10"/>
      <color rgb="FF207245"/>
      <name val="Calibri Light"/>
      <family val="2"/>
    </font>
    <font>
      <b/>
      <sz val="12"/>
      <color rgb="FF207245"/>
      <name val="Calibri Light"/>
      <family val="2"/>
    </font>
    <font>
      <sz val="12"/>
      <color rgb="FF207245"/>
      <name val="Calibri Light"/>
      <family val="2"/>
    </font>
    <font>
      <sz val="9"/>
      <color rgb="FF207245"/>
      <name val="Calibri Light"/>
      <family val="2"/>
    </font>
    <font>
      <b/>
      <sz val="28"/>
      <color rgb="FF207245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20724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rgb="FF009E6D"/>
      </bottom>
      <diagonal/>
    </border>
    <border>
      <left/>
      <right/>
      <top style="medium">
        <color rgb="FF009E6D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207245"/>
      </left>
      <right/>
      <top style="medium">
        <color rgb="FF207245"/>
      </top>
      <bottom/>
      <diagonal/>
    </border>
    <border>
      <left/>
      <right/>
      <top style="medium">
        <color rgb="FF207245"/>
      </top>
      <bottom/>
      <diagonal/>
    </border>
    <border>
      <left/>
      <right style="medium">
        <color rgb="FF207245"/>
      </right>
      <top style="medium">
        <color rgb="FF207245"/>
      </top>
      <bottom/>
      <diagonal/>
    </border>
    <border>
      <left style="medium">
        <color rgb="FF207245"/>
      </left>
      <right/>
      <top/>
      <bottom/>
      <diagonal/>
    </border>
    <border>
      <left/>
      <right style="medium">
        <color rgb="FF207245"/>
      </right>
      <top/>
      <bottom/>
      <diagonal/>
    </border>
    <border>
      <left style="medium">
        <color rgb="FF207245"/>
      </left>
      <right/>
      <top/>
      <bottom style="medium">
        <color rgb="FF207245"/>
      </bottom>
      <diagonal/>
    </border>
    <border>
      <left/>
      <right/>
      <top/>
      <bottom style="medium">
        <color rgb="FF207245"/>
      </bottom>
      <diagonal/>
    </border>
    <border>
      <left/>
      <right style="medium">
        <color rgb="FF207245"/>
      </right>
      <top/>
      <bottom style="medium">
        <color rgb="FF207245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2" fontId="2" fillId="2" borderId="0" applyNumberFormat="0" applyProtection="0">
      <alignment horizontal="right"/>
    </xf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9" fillId="4" borderId="0" xfId="0" applyFont="1" applyFill="1" applyAlignment="1">
      <alignment horizontal="left" indent="3"/>
    </xf>
    <xf numFmtId="0" fontId="8" fillId="4" borderId="0" xfId="0" applyFont="1" applyFill="1" applyAlignment="1">
      <alignment horizontal="left" vertical="center" indent="2"/>
    </xf>
    <xf numFmtId="0" fontId="10" fillId="4" borderId="5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4" borderId="0" xfId="0" applyFont="1" applyFill="1" applyAlignment="1"/>
    <xf numFmtId="166" fontId="14" fillId="4" borderId="0" xfId="0" applyNumberFormat="1" applyFont="1" applyFill="1" applyAlignment="1">
      <alignment vertical="center"/>
    </xf>
    <xf numFmtId="0" fontId="15" fillId="4" borderId="0" xfId="6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/>
    <xf numFmtId="9" fontId="17" fillId="0" borderId="0" xfId="1" applyFont="1"/>
    <xf numFmtId="167" fontId="17" fillId="0" borderId="0" xfId="5" applyNumberFormat="1" applyFont="1"/>
    <xf numFmtId="0" fontId="17" fillId="5" borderId="20" xfId="0" applyFont="1" applyFill="1" applyBorder="1" applyAlignment="1">
      <alignment horizontal="center"/>
    </xf>
    <xf numFmtId="0" fontId="17" fillId="5" borderId="20" xfId="1" applyNumberFormat="1" applyFont="1" applyFill="1" applyBorder="1"/>
    <xf numFmtId="0" fontId="17" fillId="5" borderId="19" xfId="0" applyFont="1" applyFill="1" applyBorder="1" applyAlignment="1">
      <alignment horizontal="center"/>
    </xf>
    <xf numFmtId="0" fontId="17" fillId="5" borderId="19" xfId="1" applyNumberFormat="1" applyFont="1" applyFill="1" applyBorder="1"/>
    <xf numFmtId="0" fontId="17" fillId="3" borderId="19" xfId="0" applyFont="1" applyFill="1" applyBorder="1" applyAlignment="1">
      <alignment horizontal="center"/>
    </xf>
    <xf numFmtId="3" fontId="17" fillId="3" borderId="19" xfId="1" applyNumberFormat="1" applyFont="1" applyFill="1" applyBorder="1"/>
    <xf numFmtId="0" fontId="17" fillId="5" borderId="18" xfId="0" applyFont="1" applyFill="1" applyBorder="1" applyAlignment="1">
      <alignment horizontal="center"/>
    </xf>
    <xf numFmtId="0" fontId="17" fillId="5" borderId="18" xfId="1" applyNumberFormat="1" applyFont="1" applyFill="1" applyBorder="1"/>
    <xf numFmtId="165" fontId="17" fillId="0" borderId="0" xfId="0" applyNumberFormat="1" applyFont="1"/>
    <xf numFmtId="0" fontId="20" fillId="0" borderId="0" xfId="0" applyFont="1"/>
    <xf numFmtId="1" fontId="6" fillId="0" borderId="0" xfId="0" applyNumberFormat="1" applyFont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7" fillId="4" borderId="0" xfId="3" applyFont="1" applyFill="1" applyBorder="1" applyAlignment="1">
      <alignment vertical="top"/>
    </xf>
    <xf numFmtId="0" fontId="7" fillId="4" borderId="4" xfId="3" applyFont="1" applyFill="1" applyBorder="1" applyAlignment="1">
      <alignment vertical="top"/>
    </xf>
    <xf numFmtId="17" fontId="17" fillId="0" borderId="0" xfId="0" applyNumberFormat="1" applyFont="1"/>
    <xf numFmtId="1" fontId="17" fillId="0" borderId="0" xfId="0" applyNumberFormat="1" applyFont="1"/>
    <xf numFmtId="0" fontId="17" fillId="0" borderId="0" xfId="0" applyNumberFormat="1" applyFont="1"/>
    <xf numFmtId="9" fontId="17" fillId="0" borderId="0" xfId="1" applyNumberFormat="1" applyFont="1"/>
    <xf numFmtId="0" fontId="12" fillId="4" borderId="15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/>
    </xf>
    <xf numFmtId="0" fontId="11" fillId="7" borderId="6" xfId="0" applyFont="1" applyFill="1" applyBorder="1" applyAlignment="1">
      <alignment horizontal="center" vertical="center"/>
    </xf>
    <xf numFmtId="17" fontId="21" fillId="4" borderId="0" xfId="0" quotePrefix="1" applyNumberFormat="1" applyFont="1" applyFill="1" applyAlignment="1">
      <alignment horizontal="center" wrapText="1"/>
    </xf>
    <xf numFmtId="0" fontId="22" fillId="4" borderId="4" xfId="4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Alignment="1">
      <alignment horizontal="left" indent="3"/>
    </xf>
    <xf numFmtId="0" fontId="23" fillId="4" borderId="3" xfId="0" applyNumberFormat="1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Alignment="1">
      <alignment horizontal="left" vertical="center"/>
    </xf>
    <xf numFmtId="0" fontId="24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170" fontId="24" fillId="4" borderId="0" xfId="0" applyNumberFormat="1" applyFont="1" applyFill="1" applyAlignment="1">
      <alignment horizontal="left" vertical="top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8" fillId="7" borderId="16" xfId="0" applyFont="1" applyFill="1" applyBorder="1" applyAlignment="1">
      <alignment horizontal="center" vertical="center" textRotation="90"/>
    </xf>
    <xf numFmtId="0" fontId="18" fillId="7" borderId="17" xfId="0" applyFont="1" applyFill="1" applyBorder="1" applyAlignment="1">
      <alignment horizontal="center" vertical="center" textRotation="90"/>
    </xf>
    <xf numFmtId="0" fontId="18" fillId="7" borderId="15" xfId="0" applyFont="1" applyFill="1" applyBorder="1" applyAlignment="1">
      <alignment horizontal="center" vertical="center" textRotation="90"/>
    </xf>
    <xf numFmtId="0" fontId="18" fillId="7" borderId="0" xfId="0" applyFont="1" applyFill="1" applyAlignment="1">
      <alignment horizontal="center" vertical="center" textRotation="90"/>
    </xf>
    <xf numFmtId="0" fontId="26" fillId="0" borderId="2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7" borderId="0" xfId="0" applyFont="1" applyFill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</cellXfs>
  <cellStyles count="8">
    <cellStyle name="Heading 3b" xfId="2" xr:uid="{00000000-0005-0000-0000-000000000000}"/>
    <cellStyle name="Hyperlink" xfId="6" builtinId="8"/>
    <cellStyle name="Komma" xfId="5" builtinId="3"/>
    <cellStyle name="Kop 1" xfId="3" builtinId="16"/>
    <cellStyle name="Kop 3" xfId="4" builtinId="18"/>
    <cellStyle name="Link 2" xfId="7" xr:uid="{00000000-0005-0000-0000-000003000000}"/>
    <cellStyle name="Procent" xfId="1" builtinId="5"/>
    <cellStyle name="Standaard" xfId="0" builtinId="0"/>
  </cellStyles>
  <dxfs count="194"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22" formatCode="m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border outline="0"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7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7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67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67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65" formatCode="0.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65" formatCode="0.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65" formatCode="0.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border outline="0"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7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7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67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67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border outline="0"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7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7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67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67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3" formatCode="0%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3" formatCode="0%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border outline="0"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7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7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67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67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numFmt numFmtId="13" formatCode="0%"/>
    </dxf>
    <dxf>
      <numFmt numFmtId="13" formatCode="0%"/>
    </dxf>
  </dxfs>
  <tableStyles count="0" defaultTableStyle="TableStyleMedium2" defaultPivotStyle="PivotStyleLight16"/>
  <colors>
    <mruColors>
      <color rgb="FF207245"/>
      <color rgb="FF009F6D"/>
      <color rgb="FFFF9900"/>
      <color rgb="FFBFBFBF"/>
      <color rgb="FFA6A6A6"/>
      <color rgb="FF385723"/>
      <color rgb="FF008000"/>
      <color rgb="FF99FF66"/>
      <color rgb="FFFFCC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4299755839183"/>
          <c:y val="6.8393793544742121E-2"/>
          <c:w val="0.86329211292124486"/>
          <c:h val="0.71353330562332107"/>
        </c:manualLayout>
      </c:layout>
      <c:barChart>
        <c:barDir val="col"/>
        <c:grouping val="clustered"/>
        <c:varyColors val="0"/>
        <c:ser>
          <c:idx val="0"/>
          <c:order val="0"/>
          <c:tx>
            <c:v>Realisatie</c:v>
          </c:tx>
          <c:spPr>
            <a:solidFill>
              <a:srgbClr val="009F6D"/>
            </a:solidFill>
            <a:ln>
              <a:noFill/>
            </a:ln>
            <a:effectLst/>
          </c:spPr>
          <c:invertIfNegative val="0"/>
          <c:cat>
            <c:numRef>
              <c:f>Data!$B$5:$B$40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Data!$C$164:$C$187</c:f>
              <c:numCache>
                <c:formatCode>_-* #,##0\ _€_-;\-* #,##0\ _€_-;_-* "-"??\ _€_-;_-@_-</c:formatCode>
                <c:ptCount val="24"/>
                <c:pt idx="0">
                  <c:v>200</c:v>
                </c:pt>
                <c:pt idx="1">
                  <c:v>240</c:v>
                </c:pt>
                <c:pt idx="2">
                  <c:v>120</c:v>
                </c:pt>
                <c:pt idx="3">
                  <c:v>220</c:v>
                </c:pt>
                <c:pt idx="4">
                  <c:v>310</c:v>
                </c:pt>
                <c:pt idx="5">
                  <c:v>120</c:v>
                </c:pt>
                <c:pt idx="6">
                  <c:v>90</c:v>
                </c:pt>
                <c:pt idx="7">
                  <c:v>80</c:v>
                </c:pt>
                <c:pt idx="8">
                  <c:v>430</c:v>
                </c:pt>
                <c:pt idx="9">
                  <c:v>210</c:v>
                </c:pt>
                <c:pt idx="10">
                  <c:v>450</c:v>
                </c:pt>
                <c:pt idx="11">
                  <c:v>600</c:v>
                </c:pt>
                <c:pt idx="12">
                  <c:v>660</c:v>
                </c:pt>
                <c:pt idx="13">
                  <c:v>726.00000000000011</c:v>
                </c:pt>
                <c:pt idx="14">
                  <c:v>798.60000000000014</c:v>
                </c:pt>
                <c:pt idx="15">
                  <c:v>878.46000000000026</c:v>
                </c:pt>
                <c:pt idx="16">
                  <c:v>966.30600000000038</c:v>
                </c:pt>
                <c:pt idx="17">
                  <c:v>1062.9366000000005</c:v>
                </c:pt>
                <c:pt idx="18">
                  <c:v>1169.2302600000005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09-4834-AC15-01C0E15D9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117912"/>
        <c:axId val="601113320"/>
      </c:barChart>
      <c:lineChart>
        <c:grouping val="standard"/>
        <c:varyColors val="0"/>
        <c:ser>
          <c:idx val="1"/>
          <c:order val="1"/>
          <c:tx>
            <c:v>Doel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Data!$B$5:$B$40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Data!$D$164:$D$187</c:f>
              <c:numCache>
                <c:formatCode>_-* #,##0\ _€_-;\-* #,##0\ _€_-;_-* "-"??\ _€_-;_-@_-</c:formatCode>
                <c:ptCount val="24"/>
                <c:pt idx="0">
                  <c:v>180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240</c:v>
                </c:pt>
                <c:pt idx="5">
                  <c:v>260</c:v>
                </c:pt>
                <c:pt idx="6">
                  <c:v>280</c:v>
                </c:pt>
                <c:pt idx="7">
                  <c:v>280</c:v>
                </c:pt>
                <c:pt idx="8">
                  <c:v>280</c:v>
                </c:pt>
                <c:pt idx="9">
                  <c:v>300</c:v>
                </c:pt>
                <c:pt idx="10">
                  <c:v>380</c:v>
                </c:pt>
                <c:pt idx="11">
                  <c:v>500</c:v>
                </c:pt>
                <c:pt idx="12">
                  <c:v>550</c:v>
                </c:pt>
                <c:pt idx="13">
                  <c:v>605</c:v>
                </c:pt>
                <c:pt idx="14">
                  <c:v>665.5</c:v>
                </c:pt>
                <c:pt idx="15">
                  <c:v>732.05000000000007</c:v>
                </c:pt>
                <c:pt idx="16">
                  <c:v>805.25500000000011</c:v>
                </c:pt>
                <c:pt idx="17">
                  <c:v>885.78050000000019</c:v>
                </c:pt>
                <c:pt idx="18">
                  <c:v>974.35855000000026</c:v>
                </c:pt>
                <c:pt idx="19">
                  <c:v>1071.7944050000003</c:v>
                </c:pt>
                <c:pt idx="20">
                  <c:v>1178.9738455000004</c:v>
                </c:pt>
                <c:pt idx="21">
                  <c:v>1296.8712300500006</c:v>
                </c:pt>
                <c:pt idx="22">
                  <c:v>1426.5583530550007</c:v>
                </c:pt>
                <c:pt idx="23">
                  <c:v>1569.2141883605009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09-4834-AC15-01C0E15D9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117912"/>
        <c:axId val="601113320"/>
      </c:lineChart>
      <c:dateAx>
        <c:axId val="60111791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01113320"/>
        <c:crosses val="autoZero"/>
        <c:auto val="1"/>
        <c:lblOffset val="100"/>
        <c:baseTimeUnit val="months"/>
      </c:dateAx>
      <c:valAx>
        <c:axId val="60111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01117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49508908115873"/>
          <c:y val="4.5910007084167447E-2"/>
          <c:w val="0.89180697279209598"/>
          <c:h val="0.101759522298029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72862113166088"/>
          <c:y val="3.6487412167649488E-2"/>
          <c:w val="0.62803882072880413"/>
          <c:h val="0.92702517566470155"/>
        </c:manualLayout>
      </c:layout>
      <c:barChart>
        <c:barDir val="col"/>
        <c:grouping val="stacked"/>
        <c:varyColors val="0"/>
        <c:ser>
          <c:idx val="0"/>
          <c:order val="0"/>
          <c:tx>
            <c:v>schlecht</c:v>
          </c:tx>
          <c:spPr>
            <a:solidFill>
              <a:srgbClr val="009F6D"/>
            </a:solidFill>
          </c:spPr>
          <c:invertIfNegative val="0"/>
          <c:val>
            <c:numRef>
              <c:f>Data!$D$204</c:f>
              <c:numCache>
                <c:formatCode>General</c:formatCode>
                <c:ptCount val="1"/>
                <c:pt idx="0">
                  <c:v>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75-4D77-A184-26921B43E735}"/>
            </c:ext>
          </c:extLst>
        </c:ser>
        <c:ser>
          <c:idx val="1"/>
          <c:order val="1"/>
          <c:tx>
            <c:v>ok</c:v>
          </c:tx>
          <c:spPr>
            <a:solidFill>
              <a:srgbClr val="009F6D">
                <a:alpha val="69804"/>
              </a:srgbClr>
            </a:solidFill>
          </c:spPr>
          <c:invertIfNegative val="0"/>
          <c:val>
            <c:numRef>
              <c:f>Data!$D$205</c:f>
              <c:numCache>
                <c:formatCode>General</c:formatCode>
                <c:ptCount val="1"/>
                <c:pt idx="0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75-4D77-A184-26921B43E735}"/>
            </c:ext>
          </c:extLst>
        </c:ser>
        <c:ser>
          <c:idx val="2"/>
          <c:order val="2"/>
          <c:tx>
            <c:v>gut</c:v>
          </c:tx>
          <c:spPr>
            <a:solidFill>
              <a:srgbClr val="009F6D">
                <a:alpha val="50196"/>
              </a:srgbClr>
            </a:solidFill>
          </c:spPr>
          <c:invertIfNegative val="0"/>
          <c:val>
            <c:numRef>
              <c:f>Data!$D$206</c:f>
              <c:numCache>
                <c:formatCode>General</c:formatCode>
                <c:ptCount val="1"/>
                <c:pt idx="0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75-4D77-A184-26921B43E735}"/>
            </c:ext>
          </c:extLst>
        </c:ser>
        <c:ser>
          <c:idx val="3"/>
          <c:order val="3"/>
          <c:tx>
            <c:v>perfekt</c:v>
          </c:tx>
          <c:spPr>
            <a:solidFill>
              <a:srgbClr val="009F6D">
                <a:alpha val="29020"/>
              </a:srgbClr>
            </a:solidFill>
          </c:spPr>
          <c:invertIfNegative val="0"/>
          <c:val>
            <c:numRef>
              <c:f>Data!$D$207</c:f>
              <c:numCache>
                <c:formatCode>General</c:formatCode>
                <c:ptCount val="1"/>
                <c:pt idx="0">
                  <c:v>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75-4D77-A184-26921B43E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332160"/>
        <c:axId val="110346624"/>
      </c:barChart>
      <c:barChart>
        <c:barDir val="col"/>
        <c:grouping val="stacked"/>
        <c:varyColors val="0"/>
        <c:ser>
          <c:idx val="4"/>
          <c:order val="4"/>
          <c:tx>
            <c:v>IST</c:v>
          </c:tx>
          <c:spPr>
            <a:solidFill>
              <a:schemeClr val="tx1"/>
            </a:solidFill>
          </c:spPr>
          <c:invertIfNegative val="0"/>
          <c:val>
            <c:numRef>
              <c:f>Data!$D$208</c:f>
              <c:numCache>
                <c:formatCode>#,##0</c:formatCode>
                <c:ptCount val="1"/>
                <c:pt idx="0">
                  <c:v>1810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75-4D77-A184-26921B43E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6"/>
        <c:overlap val="100"/>
        <c:axId val="110349696"/>
        <c:axId val="110348160"/>
      </c:barChart>
      <c:lineChart>
        <c:grouping val="standard"/>
        <c:varyColors val="0"/>
        <c:ser>
          <c:idx val="5"/>
          <c:order val="5"/>
          <c:tx>
            <c:v>Ziel</c:v>
          </c:tx>
          <c:spPr>
            <a:ln w="19050">
              <a:solidFill>
                <a:srgbClr val="FF9900"/>
              </a:solidFill>
            </a:ln>
          </c:spPr>
          <c:marker>
            <c:symbol val="dash"/>
            <c:size val="15"/>
            <c:spPr>
              <a:solidFill>
                <a:schemeClr val="tx1"/>
              </a:solidFill>
              <a:ln>
                <a:solidFill>
                  <a:srgbClr val="FF9900"/>
                </a:solidFill>
              </a:ln>
            </c:spPr>
          </c:marker>
          <c:dPt>
            <c:idx val="0"/>
            <c:marker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9175-4D77-A184-26921B43E735}"/>
              </c:ext>
            </c:extLst>
          </c:dPt>
          <c:val>
            <c:numRef>
              <c:f>Data!$D$209</c:f>
              <c:numCache>
                <c:formatCode>General</c:formatCode>
                <c:ptCount val="1"/>
                <c:pt idx="0">
                  <c:v>2120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175-4D77-A184-26921B43E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49696"/>
        <c:axId val="110348160"/>
      </c:lineChart>
      <c:catAx>
        <c:axId val="110332160"/>
        <c:scaling>
          <c:orientation val="minMax"/>
        </c:scaling>
        <c:delete val="1"/>
        <c:axPos val="b"/>
        <c:majorTickMark val="out"/>
        <c:minorTickMark val="none"/>
        <c:tickLblPos val="none"/>
        <c:crossAx val="110346624"/>
        <c:crosses val="autoZero"/>
        <c:auto val="1"/>
        <c:lblAlgn val="ctr"/>
        <c:lblOffset val="100"/>
        <c:noMultiLvlLbl val="0"/>
      </c:catAx>
      <c:valAx>
        <c:axId val="11034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+mj-lt"/>
                <a:cs typeface="DilleniaUPC" panose="02020603050405020304" pitchFamily="18" charset="-34"/>
              </a:defRPr>
            </a:pPr>
            <a:endParaRPr lang="nl-NL"/>
          </a:p>
        </c:txPr>
        <c:crossAx val="110332160"/>
        <c:crosses val="autoZero"/>
        <c:crossBetween val="between"/>
      </c:valAx>
      <c:valAx>
        <c:axId val="110348160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one"/>
        <c:crossAx val="110349696"/>
        <c:crosses val="max"/>
        <c:crossBetween val="between"/>
      </c:valAx>
      <c:catAx>
        <c:axId val="110349696"/>
        <c:scaling>
          <c:orientation val="minMax"/>
        </c:scaling>
        <c:delete val="1"/>
        <c:axPos val="b"/>
        <c:majorTickMark val="out"/>
        <c:minorTickMark val="none"/>
        <c:tickLblPos val="none"/>
        <c:crossAx val="11034816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4299755839183"/>
          <c:y val="6.8393793544742121E-2"/>
          <c:w val="0.86329211292124486"/>
          <c:h val="0.71353330562332107"/>
        </c:manualLayout>
      </c:layout>
      <c:barChart>
        <c:barDir val="col"/>
        <c:grouping val="clustered"/>
        <c:varyColors val="0"/>
        <c:ser>
          <c:idx val="0"/>
          <c:order val="0"/>
          <c:tx>
            <c:v>Realisatie</c:v>
          </c:tx>
          <c:spPr>
            <a:solidFill>
              <a:srgbClr val="009F6D"/>
            </a:solidFill>
            <a:ln>
              <a:noFill/>
            </a:ln>
            <a:effectLst/>
          </c:spPr>
          <c:invertIfNegative val="0"/>
          <c:cat>
            <c:numRef>
              <c:f>Data!$B$5:$B$40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Data!$K$164:$K$187</c:f>
              <c:numCache>
                <c:formatCode>_-* #,##0\ _€_-;\-* #,##0\ _€_-;_-* "-"??\ _€_-;_-@_-</c:formatCode>
                <c:ptCount val="24"/>
                <c:pt idx="0">
                  <c:v>10000</c:v>
                </c:pt>
                <c:pt idx="1">
                  <c:v>14000</c:v>
                </c:pt>
                <c:pt idx="2">
                  <c:v>8000</c:v>
                </c:pt>
                <c:pt idx="3">
                  <c:v>7000</c:v>
                </c:pt>
                <c:pt idx="4">
                  <c:v>7800</c:v>
                </c:pt>
                <c:pt idx="5">
                  <c:v>14000</c:v>
                </c:pt>
                <c:pt idx="6">
                  <c:v>19000</c:v>
                </c:pt>
                <c:pt idx="7">
                  <c:v>22000</c:v>
                </c:pt>
                <c:pt idx="8">
                  <c:v>23000</c:v>
                </c:pt>
                <c:pt idx="9">
                  <c:v>24000</c:v>
                </c:pt>
                <c:pt idx="10">
                  <c:v>20000</c:v>
                </c:pt>
                <c:pt idx="11">
                  <c:v>23000</c:v>
                </c:pt>
                <c:pt idx="12">
                  <c:v>8580</c:v>
                </c:pt>
                <c:pt idx="13">
                  <c:v>9438</c:v>
                </c:pt>
                <c:pt idx="14">
                  <c:v>10381.800000000001</c:v>
                </c:pt>
                <c:pt idx="15">
                  <c:v>11419.980000000001</c:v>
                </c:pt>
                <c:pt idx="16">
                  <c:v>12561.978000000003</c:v>
                </c:pt>
                <c:pt idx="17">
                  <c:v>13818.175800000005</c:v>
                </c:pt>
                <c:pt idx="18">
                  <c:v>15199.993380000005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1-4789-935A-5FD061814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117912"/>
        <c:axId val="601113320"/>
      </c:barChart>
      <c:lineChart>
        <c:grouping val="standard"/>
        <c:varyColors val="0"/>
        <c:ser>
          <c:idx val="1"/>
          <c:order val="1"/>
          <c:tx>
            <c:v>Doel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Data!$B$5:$B$40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Data!$L$164:$L$187</c:f>
              <c:numCache>
                <c:formatCode>_-* #,##0\ _€_-;\-* #,##0\ _€_-;_-* "-"??\ _€_-;_-@_-</c:formatCode>
                <c:ptCount val="24"/>
                <c:pt idx="0">
                  <c:v>9000</c:v>
                </c:pt>
                <c:pt idx="1">
                  <c:v>11000</c:v>
                </c:pt>
                <c:pt idx="2">
                  <c:v>12000</c:v>
                </c:pt>
                <c:pt idx="3">
                  <c:v>13000</c:v>
                </c:pt>
                <c:pt idx="4">
                  <c:v>14000</c:v>
                </c:pt>
                <c:pt idx="5">
                  <c:v>15000</c:v>
                </c:pt>
                <c:pt idx="6">
                  <c:v>16000</c:v>
                </c:pt>
                <c:pt idx="7">
                  <c:v>17000</c:v>
                </c:pt>
                <c:pt idx="8">
                  <c:v>18000</c:v>
                </c:pt>
                <c:pt idx="9">
                  <c:v>19000</c:v>
                </c:pt>
                <c:pt idx="10">
                  <c:v>20000</c:v>
                </c:pt>
                <c:pt idx="11">
                  <c:v>21000</c:v>
                </c:pt>
                <c:pt idx="12">
                  <c:v>22166.666666666701</c:v>
                </c:pt>
                <c:pt idx="13">
                  <c:v>23205.1282051282</c:v>
                </c:pt>
                <c:pt idx="14">
                  <c:v>24243.589743589699</c:v>
                </c:pt>
                <c:pt idx="15">
                  <c:v>25282.051282051299</c:v>
                </c:pt>
                <c:pt idx="16">
                  <c:v>26320.512820512798</c:v>
                </c:pt>
                <c:pt idx="17">
                  <c:v>27358.974358974399</c:v>
                </c:pt>
                <c:pt idx="18">
                  <c:v>28397.435897435898</c:v>
                </c:pt>
                <c:pt idx="19">
                  <c:v>29435.897435897401</c:v>
                </c:pt>
                <c:pt idx="20">
                  <c:v>30474.358974358998</c:v>
                </c:pt>
                <c:pt idx="21">
                  <c:v>31512.820512820501</c:v>
                </c:pt>
                <c:pt idx="22">
                  <c:v>32551.282051282</c:v>
                </c:pt>
                <c:pt idx="23">
                  <c:v>33589.743589743601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61-4789-935A-5FD061814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117912"/>
        <c:axId val="601113320"/>
      </c:lineChart>
      <c:dateAx>
        <c:axId val="60111791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01113320"/>
        <c:crosses val="autoZero"/>
        <c:auto val="1"/>
        <c:lblOffset val="100"/>
        <c:baseTimeUnit val="months"/>
      </c:dateAx>
      <c:valAx>
        <c:axId val="60111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01117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48886803615539"/>
          <c:y val="5.1865211842064669E-2"/>
          <c:w val="0.88085046128884237"/>
          <c:h val="0.104923031279512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72862113166088"/>
          <c:y val="3.6487412167649488E-2"/>
          <c:w val="0.62803882072880413"/>
          <c:h val="0.927025175664701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9F6D"/>
            </a:solidFill>
          </c:spPr>
          <c:invertIfNegative val="0"/>
          <c:val>
            <c:numRef>
              <c:f>Data!$L$204</c:f>
              <c:numCache>
                <c:formatCode>General</c:formatCode>
                <c:ptCount val="1"/>
                <c:pt idx="0">
                  <c:v>87500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2-4046-B19E-B1FD25833A6A}"/>
            </c:ext>
          </c:extLst>
        </c:ser>
        <c:ser>
          <c:idx val="1"/>
          <c:order val="1"/>
          <c:spPr>
            <a:solidFill>
              <a:srgbClr val="009F6D">
                <a:alpha val="74902"/>
              </a:srgbClr>
            </a:solidFill>
          </c:spPr>
          <c:invertIfNegative val="0"/>
          <c:val>
            <c:numRef>
              <c:f>Data!$L$205</c:f>
              <c:numCache>
                <c:formatCode>General</c:formatCode>
                <c:ptCount val="1"/>
                <c:pt idx="0">
                  <c:v>12500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F2-4046-B19E-B1FD25833A6A}"/>
            </c:ext>
          </c:extLst>
        </c:ser>
        <c:ser>
          <c:idx val="2"/>
          <c:order val="2"/>
          <c:spPr>
            <a:solidFill>
              <a:srgbClr val="009F6D">
                <a:alpha val="49020"/>
              </a:srgbClr>
            </a:solidFill>
          </c:spPr>
          <c:invertIfNegative val="0"/>
          <c:val>
            <c:numRef>
              <c:f>Data!$L$206</c:f>
              <c:numCache>
                <c:formatCode>General</c:formatCode>
                <c:ptCount val="1"/>
                <c:pt idx="0">
                  <c:v>12500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F2-4046-B19E-B1FD25833A6A}"/>
            </c:ext>
          </c:extLst>
        </c:ser>
        <c:ser>
          <c:idx val="3"/>
          <c:order val="3"/>
          <c:spPr>
            <a:solidFill>
              <a:srgbClr val="009F6D">
                <a:alpha val="25098"/>
              </a:srgbClr>
            </a:solidFill>
          </c:spPr>
          <c:invertIfNegative val="0"/>
          <c:val>
            <c:numRef>
              <c:f>Data!$L$207</c:f>
              <c:numCache>
                <c:formatCode>General</c:formatCode>
                <c:ptCount val="1"/>
                <c:pt idx="0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F2-4046-B19E-B1FD25833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332160"/>
        <c:axId val="110346624"/>
      </c:barChart>
      <c:barChart>
        <c:barDir val="col"/>
        <c:grouping val="stacked"/>
        <c:varyColors val="0"/>
        <c:ser>
          <c:idx val="4"/>
          <c:order val="4"/>
          <c:spPr>
            <a:solidFill>
              <a:schemeClr val="tx1"/>
            </a:solidFill>
          </c:spPr>
          <c:invertIfNegative val="0"/>
          <c:val>
            <c:numRef>
              <c:f>Data!$L$208</c:f>
              <c:numCache>
                <c:formatCode>#,##0</c:formatCode>
                <c:ptCount val="1"/>
                <c:pt idx="0">
                  <c:v>124800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F2-4046-B19E-B1FD25833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6"/>
        <c:overlap val="100"/>
        <c:axId val="110349696"/>
        <c:axId val="110348160"/>
      </c:barChart>
      <c:lineChart>
        <c:grouping val="standard"/>
        <c:varyColors val="0"/>
        <c:ser>
          <c:idx val="5"/>
          <c:order val="5"/>
          <c:marker>
            <c:symbol val="dash"/>
            <c:size val="1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Data!$L$209</c:f>
              <c:numCache>
                <c:formatCode>General</c:formatCode>
                <c:ptCount val="1"/>
                <c:pt idx="0">
                  <c:v>125000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4F2-4046-B19E-B1FD25833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49696"/>
        <c:axId val="110348160"/>
      </c:lineChart>
      <c:catAx>
        <c:axId val="110332160"/>
        <c:scaling>
          <c:orientation val="minMax"/>
        </c:scaling>
        <c:delete val="1"/>
        <c:axPos val="b"/>
        <c:majorTickMark val="out"/>
        <c:minorTickMark val="none"/>
        <c:tickLblPos val="none"/>
        <c:crossAx val="110346624"/>
        <c:crosses val="autoZero"/>
        <c:auto val="1"/>
        <c:lblAlgn val="ctr"/>
        <c:lblOffset val="100"/>
        <c:noMultiLvlLbl val="0"/>
      </c:catAx>
      <c:valAx>
        <c:axId val="11034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+mj-lt"/>
                <a:cs typeface="DilleniaUPC" panose="02020603050405020304" pitchFamily="18" charset="-34"/>
              </a:defRPr>
            </a:pPr>
            <a:endParaRPr lang="nl-NL"/>
          </a:p>
        </c:txPr>
        <c:crossAx val="110332160"/>
        <c:crosses val="autoZero"/>
        <c:crossBetween val="between"/>
      </c:valAx>
      <c:valAx>
        <c:axId val="110348160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one"/>
        <c:crossAx val="110349696"/>
        <c:crosses val="max"/>
        <c:crossBetween val="between"/>
      </c:valAx>
      <c:catAx>
        <c:axId val="110349696"/>
        <c:scaling>
          <c:orientation val="minMax"/>
        </c:scaling>
        <c:delete val="1"/>
        <c:axPos val="b"/>
        <c:majorTickMark val="out"/>
        <c:minorTickMark val="none"/>
        <c:tickLblPos val="none"/>
        <c:crossAx val="11034816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4299755839183"/>
          <c:y val="6.8393793544742121E-2"/>
          <c:w val="0.86329211292124486"/>
          <c:h val="0.71353330562332107"/>
        </c:manualLayout>
      </c:layout>
      <c:barChart>
        <c:barDir val="col"/>
        <c:grouping val="clustered"/>
        <c:varyColors val="0"/>
        <c:ser>
          <c:idx val="0"/>
          <c:order val="0"/>
          <c:tx>
            <c:v>Realisatie</c:v>
          </c:tx>
          <c:spPr>
            <a:solidFill>
              <a:srgbClr val="009F6D"/>
            </a:solidFill>
            <a:ln>
              <a:noFill/>
            </a:ln>
            <a:effectLst/>
          </c:spPr>
          <c:invertIfNegative val="0"/>
          <c:cat>
            <c:numRef>
              <c:f>Data!$B$5:$B$40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Data!$S$164:$S$187</c:f>
              <c:numCache>
                <c:formatCode>_-* #,##0\ _€_-;\-* #,##0\ _€_-;_-* "-"??\ _€_-;_-@_-</c:formatCode>
                <c:ptCount val="2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6</c:v>
                </c:pt>
                <c:pt idx="16">
                  <c:v>8</c:v>
                </c:pt>
                <c:pt idx="17">
                  <c:v>7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6-4852-9A74-A5EC98F86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117912"/>
        <c:axId val="601113320"/>
      </c:barChart>
      <c:lineChart>
        <c:grouping val="standard"/>
        <c:varyColors val="0"/>
        <c:ser>
          <c:idx val="1"/>
          <c:order val="1"/>
          <c:tx>
            <c:v>Doel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Data!$B$5:$B$40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Data!$T$164:$T$182</c:f>
              <c:numCache>
                <c:formatCode>_-* #,##0\ _€_-;\-* #,##0\ _€_-;_-* "-"??\ _€_-;_-@_-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46-4852-9A74-A5EC98F86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117912"/>
        <c:axId val="601113320"/>
      </c:lineChart>
      <c:dateAx>
        <c:axId val="60111791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01113320"/>
        <c:crosses val="autoZero"/>
        <c:auto val="1"/>
        <c:lblOffset val="100"/>
        <c:baseTimeUnit val="months"/>
      </c:dateAx>
      <c:valAx>
        <c:axId val="60111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01117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49917670405437"/>
          <c:y val="8.2690886979868136E-2"/>
          <c:w val="0.86601317039854431"/>
          <c:h val="0.104923031279512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72862113166088"/>
          <c:y val="3.6487412167649488E-2"/>
          <c:w val="0.62803882072880413"/>
          <c:h val="0.927025175664701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9F6D"/>
            </a:solidFill>
          </c:spPr>
          <c:invertIfNegative val="0"/>
          <c:val>
            <c:numRef>
              <c:f>Data!$T$204</c:f>
              <c:numCache>
                <c:formatCode>General</c:formatCode>
                <c:ptCount val="1"/>
                <c:pt idx="0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1-45CC-BBF2-D0548EF460A1}"/>
            </c:ext>
          </c:extLst>
        </c:ser>
        <c:ser>
          <c:idx val="1"/>
          <c:order val="1"/>
          <c:spPr>
            <a:solidFill>
              <a:srgbClr val="009F6D">
                <a:alpha val="74902"/>
              </a:srgbClr>
            </a:solidFill>
          </c:spPr>
          <c:invertIfNegative val="0"/>
          <c:val>
            <c:numRef>
              <c:f>Data!$T$205</c:f>
              <c:numCache>
                <c:formatCode>General</c:formatCode>
                <c:ptCount val="1"/>
                <c:pt idx="0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F1-45CC-BBF2-D0548EF460A1}"/>
            </c:ext>
          </c:extLst>
        </c:ser>
        <c:ser>
          <c:idx val="2"/>
          <c:order val="2"/>
          <c:spPr>
            <a:solidFill>
              <a:srgbClr val="009F6D">
                <a:alpha val="50196"/>
              </a:srgbClr>
            </a:solidFill>
          </c:spPr>
          <c:invertIfNegative val="0"/>
          <c:val>
            <c:numRef>
              <c:f>Data!$T$206</c:f>
              <c:numCache>
                <c:formatCode>General</c:formatCode>
                <c:ptCount val="1"/>
                <c:pt idx="0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F1-45CC-BBF2-D0548EF460A1}"/>
            </c:ext>
          </c:extLst>
        </c:ser>
        <c:ser>
          <c:idx val="3"/>
          <c:order val="3"/>
          <c:spPr>
            <a:solidFill>
              <a:srgbClr val="009F6D">
                <a:alpha val="23922"/>
              </a:srgbClr>
            </a:solidFill>
          </c:spPr>
          <c:invertIfNegative val="0"/>
          <c:val>
            <c:numRef>
              <c:f>Data!$T$207</c:f>
              <c:numCache>
                <c:formatCode>General</c:formatCode>
                <c:ptCount val="1"/>
                <c:pt idx="0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F1-45CC-BBF2-D0548EF46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332160"/>
        <c:axId val="110346624"/>
      </c:barChart>
      <c:barChart>
        <c:barDir val="col"/>
        <c:grouping val="stacked"/>
        <c:varyColors val="0"/>
        <c:ser>
          <c:idx val="4"/>
          <c:order val="4"/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94F1-45CC-BBF2-D0548EF460A1}"/>
              </c:ext>
            </c:extLst>
          </c:dPt>
          <c:val>
            <c:numRef>
              <c:f>Data!$T$208</c:f>
              <c:numCache>
                <c:formatCode>#,##0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F1-45CC-BBF2-D0548EF46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6"/>
        <c:overlap val="100"/>
        <c:axId val="110349696"/>
        <c:axId val="110348160"/>
      </c:barChart>
      <c:lineChart>
        <c:grouping val="standard"/>
        <c:varyColors val="0"/>
        <c:ser>
          <c:idx val="5"/>
          <c:order val="5"/>
          <c:marker>
            <c:symbol val="dash"/>
            <c:size val="15"/>
            <c:spPr>
              <a:solidFill>
                <a:srgbClr val="FFC0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Data!$T$209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F1-45CC-BBF2-D0548EF46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49696"/>
        <c:axId val="110348160"/>
      </c:lineChart>
      <c:catAx>
        <c:axId val="110332160"/>
        <c:scaling>
          <c:orientation val="minMax"/>
        </c:scaling>
        <c:delete val="1"/>
        <c:axPos val="b"/>
        <c:majorTickMark val="out"/>
        <c:minorTickMark val="none"/>
        <c:tickLblPos val="none"/>
        <c:crossAx val="110346624"/>
        <c:crosses val="autoZero"/>
        <c:auto val="1"/>
        <c:lblAlgn val="ctr"/>
        <c:lblOffset val="100"/>
        <c:noMultiLvlLbl val="0"/>
      </c:catAx>
      <c:valAx>
        <c:axId val="11034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+mj-lt"/>
                <a:cs typeface="DilleniaUPC" panose="02020603050405020304" pitchFamily="18" charset="-34"/>
              </a:defRPr>
            </a:pPr>
            <a:endParaRPr lang="nl-NL"/>
          </a:p>
        </c:txPr>
        <c:crossAx val="110332160"/>
        <c:crosses val="autoZero"/>
        <c:crossBetween val="between"/>
      </c:valAx>
      <c:valAx>
        <c:axId val="110348160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one"/>
        <c:crossAx val="110349696"/>
        <c:crosses val="max"/>
        <c:crossBetween val="between"/>
      </c:valAx>
      <c:catAx>
        <c:axId val="110349696"/>
        <c:scaling>
          <c:orientation val="minMax"/>
        </c:scaling>
        <c:delete val="1"/>
        <c:axPos val="b"/>
        <c:majorTickMark val="out"/>
        <c:minorTickMark val="none"/>
        <c:tickLblPos val="none"/>
        <c:crossAx val="11034816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4299755839183"/>
          <c:y val="6.8393793544742121E-2"/>
          <c:w val="0.86329211292124486"/>
          <c:h val="0.71353330562332107"/>
        </c:manualLayout>
      </c:layout>
      <c:barChart>
        <c:barDir val="col"/>
        <c:grouping val="clustered"/>
        <c:varyColors val="0"/>
        <c:ser>
          <c:idx val="0"/>
          <c:order val="0"/>
          <c:tx>
            <c:v>Realisatie</c:v>
          </c:tx>
          <c:spPr>
            <a:solidFill>
              <a:srgbClr val="009F6D"/>
            </a:solidFill>
            <a:ln>
              <a:noFill/>
            </a:ln>
            <a:effectLst/>
          </c:spPr>
          <c:invertIfNegative val="0"/>
          <c:cat>
            <c:numRef>
              <c:f>Data!$B$5:$B$40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Data!$AA$164:$AA$182</c:f>
              <c:numCache>
                <c:formatCode>_-* #,##0\ _€_-;\-* #,##0\ _€_-;_-* "-"??\ _€_-;_-@_-</c:formatCode>
                <c:ptCount val="19"/>
                <c:pt idx="0">
                  <c:v>20</c:v>
                </c:pt>
                <c:pt idx="1">
                  <c:v>35</c:v>
                </c:pt>
                <c:pt idx="2">
                  <c:v>40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10</c:v>
                </c:pt>
                <c:pt idx="8">
                  <c:v>40</c:v>
                </c:pt>
                <c:pt idx="9">
                  <c:v>50</c:v>
                </c:pt>
                <c:pt idx="10">
                  <c:v>35</c:v>
                </c:pt>
                <c:pt idx="11">
                  <c:v>30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D-4420-B451-783F5133F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117912"/>
        <c:axId val="601113320"/>
      </c:barChart>
      <c:lineChart>
        <c:grouping val="standard"/>
        <c:varyColors val="0"/>
        <c:ser>
          <c:idx val="1"/>
          <c:order val="1"/>
          <c:tx>
            <c:v>Doel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Data!$B$5:$B$40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Data!$AB$164:$AB$182</c:f>
              <c:numCache>
                <c:formatCode>_-* #,##0\ _€_-;\-* #,##0\ _€_-;_-* "-"??\ _€_-;_-@_-</c:formatCode>
                <c:ptCount val="1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1D-4420-B451-783F5133F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117912"/>
        <c:axId val="601113320"/>
      </c:lineChart>
      <c:dateAx>
        <c:axId val="60111791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01113320"/>
        <c:crosses val="autoZero"/>
        <c:auto val="1"/>
        <c:lblOffset val="100"/>
        <c:baseTimeUnit val="months"/>
      </c:dateAx>
      <c:valAx>
        <c:axId val="60111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01117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040825384312733E-2"/>
          <c:y val="8.2237545513396973E-2"/>
          <c:w val="0.86123907012132717"/>
          <c:h val="0.104923031279512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72862113166088"/>
          <c:y val="3.6487412167649488E-2"/>
          <c:w val="0.62803882072880413"/>
          <c:h val="0.927025175664701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9F6D"/>
            </a:solidFill>
          </c:spPr>
          <c:invertIfNegative val="0"/>
          <c:val>
            <c:numRef>
              <c:f>Data!$AB$204</c:f>
              <c:numCache>
                <c:formatCode>General</c:formatCode>
                <c:ptCount val="1"/>
                <c:pt idx="0">
                  <c:v>125.99999999999999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B-4A61-AFAB-0DA3E6FB94E3}"/>
            </c:ext>
          </c:extLst>
        </c:ser>
        <c:ser>
          <c:idx val="1"/>
          <c:order val="1"/>
          <c:spPr>
            <a:solidFill>
              <a:srgbClr val="009F6D">
                <a:alpha val="74902"/>
              </a:srgbClr>
            </a:solidFill>
          </c:spPr>
          <c:invertIfNegative val="0"/>
          <c:val>
            <c:numRef>
              <c:f>Data!$AB$205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FB-4A61-AFAB-0DA3E6FB94E3}"/>
            </c:ext>
          </c:extLst>
        </c:ser>
        <c:ser>
          <c:idx val="2"/>
          <c:order val="2"/>
          <c:spPr>
            <a:solidFill>
              <a:srgbClr val="009F6D">
                <a:alpha val="50196"/>
              </a:srgbClr>
            </a:solidFill>
          </c:spPr>
          <c:invertIfNegative val="0"/>
          <c:val>
            <c:numRef>
              <c:f>Data!$AB$206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FB-4A61-AFAB-0DA3E6FB94E3}"/>
            </c:ext>
          </c:extLst>
        </c:ser>
        <c:ser>
          <c:idx val="3"/>
          <c:order val="3"/>
          <c:spPr>
            <a:solidFill>
              <a:srgbClr val="009F6D">
                <a:alpha val="25098"/>
              </a:srgbClr>
            </a:solidFill>
          </c:spPr>
          <c:invertIfNegative val="0"/>
          <c:val>
            <c:numRef>
              <c:f>Data!$AB$207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FB-4A61-AFAB-0DA3E6FB9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332160"/>
        <c:axId val="110346624"/>
      </c:barChart>
      <c:barChart>
        <c:barDir val="col"/>
        <c:grouping val="stacked"/>
        <c:varyColors val="0"/>
        <c:ser>
          <c:idx val="4"/>
          <c:order val="4"/>
          <c:spPr>
            <a:solidFill>
              <a:schemeClr val="tx1"/>
            </a:solidFill>
          </c:spPr>
          <c:invertIfNegative val="0"/>
          <c:val>
            <c:numRef>
              <c:f>Data!$AB$208</c:f>
              <c:numCache>
                <c:formatCode>#,##0</c:formatCode>
                <c:ptCount val="1"/>
                <c:pt idx="0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FB-4A61-AFAB-0DA3E6FB9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6"/>
        <c:overlap val="100"/>
        <c:axId val="110349696"/>
        <c:axId val="110348160"/>
      </c:barChart>
      <c:lineChart>
        <c:grouping val="standard"/>
        <c:varyColors val="0"/>
        <c:ser>
          <c:idx val="5"/>
          <c:order val="5"/>
          <c:marker>
            <c:symbol val="dash"/>
            <c:size val="15"/>
            <c:spPr>
              <a:solidFill>
                <a:srgbClr val="FFC0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Data!$AB$209</c:f>
              <c:numCache>
                <c:formatCode>General</c:formatCode>
                <c:ptCount val="1"/>
                <c:pt idx="0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2FB-4A61-AFAB-0DA3E6FB9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49696"/>
        <c:axId val="110348160"/>
      </c:lineChart>
      <c:catAx>
        <c:axId val="110332160"/>
        <c:scaling>
          <c:orientation val="minMax"/>
        </c:scaling>
        <c:delete val="1"/>
        <c:axPos val="b"/>
        <c:majorTickMark val="out"/>
        <c:minorTickMark val="none"/>
        <c:tickLblPos val="none"/>
        <c:crossAx val="110346624"/>
        <c:crosses val="autoZero"/>
        <c:auto val="1"/>
        <c:lblAlgn val="ctr"/>
        <c:lblOffset val="100"/>
        <c:noMultiLvlLbl val="0"/>
      </c:catAx>
      <c:valAx>
        <c:axId val="11034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+mj-lt"/>
                <a:cs typeface="DilleniaUPC" panose="02020603050405020304" pitchFamily="18" charset="-34"/>
              </a:defRPr>
            </a:pPr>
            <a:endParaRPr lang="nl-NL"/>
          </a:p>
        </c:txPr>
        <c:crossAx val="110332160"/>
        <c:crosses val="autoZero"/>
        <c:crossBetween val="between"/>
      </c:valAx>
      <c:valAx>
        <c:axId val="110348160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one"/>
        <c:crossAx val="110349696"/>
        <c:crosses val="max"/>
        <c:crossBetween val="between"/>
      </c:valAx>
      <c:catAx>
        <c:axId val="110349696"/>
        <c:scaling>
          <c:orientation val="minMax"/>
        </c:scaling>
        <c:delete val="1"/>
        <c:axPos val="b"/>
        <c:majorTickMark val="out"/>
        <c:minorTickMark val="none"/>
        <c:tickLblPos val="none"/>
        <c:crossAx val="11034816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16" fmlaLink="$B$11" max="3000" min="1904" page="10" val="2020"/>
</file>

<file path=xl/ctrlProps/ctrlProp2.xml><?xml version="1.0" encoding="utf-8"?>
<formControlPr xmlns="http://schemas.microsoft.com/office/spreadsheetml/2009/9/main" objectType="Spin" dx="16" fmlaLink="$B$14" max="12" min="1" page="10" val="9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12700</xdr:colOff>
          <xdr:row>9</xdr:row>
          <xdr:rowOff>342900</xdr:rowOff>
        </xdr:from>
        <xdr:to>
          <xdr:col>2</xdr:col>
          <xdr:colOff>114300</xdr:colOff>
          <xdr:row>11</xdr:row>
          <xdr:rowOff>12700</xdr:rowOff>
        </xdr:to>
        <xdr:sp macro="" textlink="">
          <xdr:nvSpPr>
            <xdr:cNvPr id="12289" name="Drehfeld Jahr" descr="Year Spinner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12700</xdr:colOff>
          <xdr:row>12</xdr:row>
          <xdr:rowOff>0</xdr:rowOff>
        </xdr:from>
        <xdr:to>
          <xdr:col>2</xdr:col>
          <xdr:colOff>114300</xdr:colOff>
          <xdr:row>13</xdr:row>
          <xdr:rowOff>19050</xdr:rowOff>
        </xdr:to>
        <xdr:sp macro="" textlink="">
          <xdr:nvSpPr>
            <xdr:cNvPr id="12290" name="Drehfeld Monat" descr="Month Spinner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oneCellAnchor>
    <xdr:from>
      <xdr:col>12</xdr:col>
      <xdr:colOff>1078706</xdr:colOff>
      <xdr:row>9</xdr:row>
      <xdr:rowOff>42862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830175" y="23645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12</xdr:col>
      <xdr:colOff>1078706</xdr:colOff>
      <xdr:row>19</xdr:row>
      <xdr:rowOff>0</xdr:rowOff>
    </xdr:from>
    <xdr:ext cx="65" cy="172227"/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3004006" y="2214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12</xdr:col>
      <xdr:colOff>1078706</xdr:colOff>
      <xdr:row>23</xdr:row>
      <xdr:rowOff>42862</xdr:rowOff>
    </xdr:from>
    <xdr:ext cx="65" cy="172227"/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3204031" y="2214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4</xdr:col>
      <xdr:colOff>0</xdr:colOff>
      <xdr:row>7</xdr:row>
      <xdr:rowOff>0</xdr:rowOff>
    </xdr:from>
    <xdr:to>
      <xdr:col>6</xdr:col>
      <xdr:colOff>1376891</xdr:colOff>
      <xdr:row>15</xdr:row>
      <xdr:rowOff>10583</xdr:rowOff>
    </xdr:to>
    <xdr:graphicFrame macro="">
      <xdr:nvGraphicFramePr>
        <xdr:cNvPr id="49" name="Diagramm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21166</xdr:colOff>
      <xdr:row>7</xdr:row>
      <xdr:rowOff>21166</xdr:rowOff>
    </xdr:from>
    <xdr:to>
      <xdr:col>8</xdr:col>
      <xdr:colOff>0</xdr:colOff>
      <xdr:row>14</xdr:row>
      <xdr:rowOff>223308</xdr:rowOff>
    </xdr:to>
    <xdr:graphicFrame macro="">
      <xdr:nvGraphicFramePr>
        <xdr:cNvPr id="50" name="Diagramm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7</xdr:row>
      <xdr:rowOff>0</xdr:rowOff>
    </xdr:from>
    <xdr:to>
      <xdr:col>11</xdr:col>
      <xdr:colOff>1376891</xdr:colOff>
      <xdr:row>15</xdr:row>
      <xdr:rowOff>10583</xdr:rowOff>
    </xdr:to>
    <xdr:graphicFrame macro="">
      <xdr:nvGraphicFramePr>
        <xdr:cNvPr id="51" name="Diagramm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21166</xdr:colOff>
      <xdr:row>7</xdr:row>
      <xdr:rowOff>31750</xdr:rowOff>
    </xdr:from>
    <xdr:to>
      <xdr:col>13</xdr:col>
      <xdr:colOff>0</xdr:colOff>
      <xdr:row>14</xdr:row>
      <xdr:rowOff>223308</xdr:rowOff>
    </xdr:to>
    <xdr:graphicFrame macro="">
      <xdr:nvGraphicFramePr>
        <xdr:cNvPr id="52" name="Diagramm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1078706</xdr:colOff>
      <xdr:row>23</xdr:row>
      <xdr:rowOff>42862</xdr:rowOff>
    </xdr:from>
    <xdr:ext cx="65" cy="172227"/>
    <xdr:sp macro="" textlink="">
      <xdr:nvSpPr>
        <xdr:cNvPr id="53" name="Textfeld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2499181" y="2214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4</xdr:col>
      <xdr:colOff>0</xdr:colOff>
      <xdr:row>21</xdr:row>
      <xdr:rowOff>0</xdr:rowOff>
    </xdr:from>
    <xdr:to>
      <xdr:col>6</xdr:col>
      <xdr:colOff>1376891</xdr:colOff>
      <xdr:row>29</xdr:row>
      <xdr:rowOff>10583</xdr:rowOff>
    </xdr:to>
    <xdr:graphicFrame macro="">
      <xdr:nvGraphicFramePr>
        <xdr:cNvPr id="54" name="Diagramm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21166</xdr:colOff>
      <xdr:row>21</xdr:row>
      <xdr:rowOff>31750</xdr:rowOff>
    </xdr:from>
    <xdr:to>
      <xdr:col>8</xdr:col>
      <xdr:colOff>0</xdr:colOff>
      <xdr:row>28</xdr:row>
      <xdr:rowOff>223308</xdr:rowOff>
    </xdr:to>
    <xdr:graphicFrame macro="">
      <xdr:nvGraphicFramePr>
        <xdr:cNvPr id="55" name="Diagramm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12</xdr:col>
      <xdr:colOff>1078706</xdr:colOff>
      <xdr:row>23</xdr:row>
      <xdr:rowOff>42862</xdr:rowOff>
    </xdr:from>
    <xdr:ext cx="65" cy="172227"/>
    <xdr:sp macro="" textlink="">
      <xdr:nvSpPr>
        <xdr:cNvPr id="56" name="Textfeld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736556" y="58150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9</xdr:col>
      <xdr:colOff>56726</xdr:colOff>
      <xdr:row>21</xdr:row>
      <xdr:rowOff>0</xdr:rowOff>
    </xdr:from>
    <xdr:to>
      <xdr:col>11</xdr:col>
      <xdr:colOff>1380700</xdr:colOff>
      <xdr:row>29</xdr:row>
      <xdr:rowOff>16298</xdr:rowOff>
    </xdr:to>
    <xdr:graphicFrame macro="">
      <xdr:nvGraphicFramePr>
        <xdr:cNvPr id="57" name="Diagramm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21166</xdr:colOff>
      <xdr:row>21</xdr:row>
      <xdr:rowOff>31750</xdr:rowOff>
    </xdr:from>
    <xdr:to>
      <xdr:col>13</xdr:col>
      <xdr:colOff>0</xdr:colOff>
      <xdr:row>28</xdr:row>
      <xdr:rowOff>223308</xdr:rowOff>
    </xdr:to>
    <xdr:graphicFrame macro="">
      <xdr:nvGraphicFramePr>
        <xdr:cNvPr id="58" name="Diagramm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12</xdr:col>
      <xdr:colOff>535213</xdr:colOff>
      <xdr:row>1</xdr:row>
      <xdr:rowOff>117929</xdr:rowOff>
    </xdr:from>
    <xdr:to>
      <xdr:col>12</xdr:col>
      <xdr:colOff>1220653</xdr:colOff>
      <xdr:row>3</xdr:row>
      <xdr:rowOff>272329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9592712-7467-4BAF-925F-8DADBD1EF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2427" y="190500"/>
          <a:ext cx="685440" cy="662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elle5" displayName="Tabelle5" ref="B4:D40" totalsRowShown="0" headerRowDxfId="66" dataDxfId="191">
  <autoFilter ref="B4:D40" xr:uid="{00000000-0009-0000-0100-000005000000}"/>
  <tableColumns count="3">
    <tableColumn id="1" xr3:uid="{00000000-0010-0000-0000-000001000000}" name="Kolom1" dataDxfId="190"/>
    <tableColumn id="2" xr3:uid="{00000000-0010-0000-0000-000002000000}" name="Realisatie" dataDxfId="189"/>
    <tableColumn id="3" xr3:uid="{00000000-0010-0000-0000-000003000000}" name="Doel" dataDxfId="18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9000000}" name="Tabelle69111315" displayName="Tabelle69111315" ref="F163:H199" totalsRowShown="0" headerRowDxfId="35" dataDxfId="43">
  <autoFilter ref="F163:H199" xr:uid="{00000000-0009-0000-0100-00000E000000}"/>
  <tableColumns count="3">
    <tableColumn id="1" xr3:uid="{00000000-0010-0000-0900-000001000000}" name="Kolom1" dataDxfId="6"/>
    <tableColumn id="2" xr3:uid="{00000000-0010-0000-0900-000002000000}" name="Realisatie" dataDxfId="164" dataCellStyle="Komma">
      <calculatedColumnFormula>IF(AND(DASHBOARD!$E$7=Data!$B$3,DASHBOARD!$H$7=Data!$C$3),Data!G5,IF(AND(DASHBOARD!$E$7=Data!$B$43,DASHBOARD!$H$7=Data!$C$43),Data!G45,IF(AND(DASHBOARD!$E$7=Data!$B$83,DASHBOARD!$H$7=Data!$C$83),Data!G85,IF(AND(DASHBOARD!$E$7=Data!$B$123,DASHBOARD!$H$7=Data!$C$123),Data!G125,""))))</calculatedColumnFormula>
    </tableColumn>
    <tableColumn id="3" xr3:uid="{00000000-0010-0000-0900-000003000000}" name="Doel" dataDxfId="163" dataCellStyle="Komma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A000000}" name="Tabelle15" displayName="Tabelle15" ref="B203:D209" totalsRowShown="0" headerRowDxfId="162" dataDxfId="160" headerRowBorderDxfId="161" tableBorderDxfId="159" totalsRowBorderDxfId="158">
  <autoFilter ref="B203:D209" xr:uid="{00000000-0009-0000-0100-00000F000000}"/>
  <tableColumns count="3">
    <tableColumn id="1" xr3:uid="{00000000-0010-0000-0A00-000001000000}" name="Spalte1" dataDxfId="157"/>
    <tableColumn id="2" xr3:uid="{00000000-0010-0000-0A00-000002000000}" name="Spalte2" dataDxfId="156"/>
    <tableColumn id="3" xr3:uid="{00000000-0010-0000-0A00-000003000000}" name="Spalte3" dataDxfId="15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B000000}" name="Tabelle517" displayName="Tabelle517" ref="J4:L40" totalsRowShown="0" headerRowDxfId="154" dataDxfId="153">
  <autoFilter ref="J4:L40" xr:uid="{00000000-0009-0000-0100-000010000000}"/>
  <tableColumns count="3">
    <tableColumn id="1" xr3:uid="{00000000-0010-0000-0B00-000001000000}" name="Kolom1" dataDxfId="29"/>
    <tableColumn id="2" xr3:uid="{00000000-0010-0000-0B00-000002000000}" name="Realisatie" dataDxfId="152"/>
    <tableColumn id="3" xr3:uid="{00000000-0010-0000-0B00-000003000000}" name="Doel" dataDxfId="15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C000000}" name="Tabelle618" displayName="Tabelle618" ref="N4:P40" totalsRowShown="0" headerRowDxfId="150" dataDxfId="149">
  <autoFilter ref="N4:P40" xr:uid="{00000000-0009-0000-0100-000011000000}"/>
  <tableColumns count="3">
    <tableColumn id="1" xr3:uid="{00000000-0010-0000-0C00-000001000000}" name="Kolom1" dataDxfId="28"/>
    <tableColumn id="2" xr3:uid="{00000000-0010-0000-0C00-000002000000}" name="Realisatie" dataDxfId="148"/>
    <tableColumn id="3" xr3:uid="{00000000-0010-0000-0C00-000003000000}" name="Doel" dataDxfId="14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D000000}" name="Tabelle5819" displayName="Tabelle5819" ref="J44:L80" totalsRowShown="0" headerRowDxfId="60" dataDxfId="146">
  <autoFilter ref="J44:L80" xr:uid="{00000000-0009-0000-0100-000012000000}"/>
  <tableColumns count="3">
    <tableColumn id="1" xr3:uid="{00000000-0010-0000-0D00-000001000000}" name="Kolom1" dataDxfId="21"/>
    <tableColumn id="2" xr3:uid="{00000000-0010-0000-0D00-000002000000}" name="Realisatie" dataDxfId="145"/>
    <tableColumn id="3" xr3:uid="{00000000-0010-0000-0D00-000003000000}" name="Doel" dataDxfId="14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E000000}" name="Tabelle6920" displayName="Tabelle6920" ref="N44:P80" totalsRowShown="0" headerRowDxfId="61" dataDxfId="143">
  <autoFilter ref="N44:P80" xr:uid="{00000000-0009-0000-0100-000013000000}"/>
  <tableColumns count="3">
    <tableColumn id="1" xr3:uid="{00000000-0010-0000-0E00-000001000000}" name="Kolom1" dataDxfId="20"/>
    <tableColumn id="2" xr3:uid="{00000000-0010-0000-0E00-000002000000}" name="Realisatie" dataDxfId="142"/>
    <tableColumn id="3" xr3:uid="{00000000-0010-0000-0E00-000003000000}" name="Doel" dataDxfId="14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F000000}" name="Tabelle581021" displayName="Tabelle581021" ref="J84:L120" totalsRowShown="0" headerRowDxfId="56" dataDxfId="140">
  <autoFilter ref="J84:L120" xr:uid="{00000000-0009-0000-0100-000014000000}"/>
  <tableColumns count="3">
    <tableColumn id="1" xr3:uid="{00000000-0010-0000-0F00-000001000000}" name="Kolom1" dataDxfId="13"/>
    <tableColumn id="2" xr3:uid="{00000000-0010-0000-0F00-000002000000}" name="Realisatie" dataDxfId="139"/>
    <tableColumn id="3" xr3:uid="{00000000-0010-0000-0F00-000003000000}" name="Doel" dataDxfId="13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0000000}" name="Tabelle691122" displayName="Tabelle691122" ref="N84:P120" totalsRowShown="0" headerRowDxfId="57" dataDxfId="137">
  <autoFilter ref="N84:P120" xr:uid="{00000000-0009-0000-0100-000015000000}"/>
  <tableColumns count="3">
    <tableColumn id="1" xr3:uid="{00000000-0010-0000-1000-000001000000}" name="Kolom1" dataDxfId="12"/>
    <tableColumn id="2" xr3:uid="{00000000-0010-0000-1000-000002000000}" name="Realisatie" dataDxfId="136">
      <calculatedColumnFormula>Tabelle581021[[#This Row],[Realisatie]]</calculatedColumnFormula>
    </tableColumn>
    <tableColumn id="3" xr3:uid="{00000000-0010-0000-1000-000003000000}" name="Doel" dataDxfId="135">
      <calculatedColumnFormula>Tabelle581021[[#This Row],[Doel]]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1000000}" name="Tabelle58101223" displayName="Tabelle58101223" ref="J124:L160" totalsRowShown="0" headerRowDxfId="52" dataDxfId="134">
  <autoFilter ref="J124:L160" xr:uid="{00000000-0009-0000-0100-000016000000}"/>
  <tableColumns count="3">
    <tableColumn id="1" xr3:uid="{00000000-0010-0000-1100-000001000000}" name="Kolom1" dataDxfId="9"/>
    <tableColumn id="2" xr3:uid="{00000000-0010-0000-1100-000002000000}" name="Realisatie" dataDxfId="133"/>
    <tableColumn id="3" xr3:uid="{00000000-0010-0000-1100-000003000000}" name="Doel" dataDxfId="13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2000000}" name="Tabelle69111324" displayName="Tabelle69111324" ref="N124:P160" totalsRowShown="0" headerRowDxfId="53" dataDxfId="131">
  <autoFilter ref="N124:P160" xr:uid="{00000000-0009-0000-0100-000017000000}"/>
  <tableColumns count="3">
    <tableColumn id="1" xr3:uid="{00000000-0010-0000-1200-000001000000}" name="Kolom1" dataDxfId="8"/>
    <tableColumn id="2" xr3:uid="{00000000-0010-0000-1200-000002000000}" name="Realisatie" dataDxfId="130">
      <calculatedColumnFormula>Tabelle58101223[[#This Row],[Realisatie]]</calculatedColumnFormula>
    </tableColumn>
    <tableColumn id="3" xr3:uid="{00000000-0010-0000-1200-000003000000}" name="Doel" dataDxfId="129">
      <calculatedColumnFormula>Tabelle58101223[[#This Row],[Doel]]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elle6" displayName="Tabelle6" ref="F4:H40" totalsRowShown="0" headerRowDxfId="67" dataDxfId="187">
  <autoFilter ref="F4:H40" xr:uid="{00000000-0009-0000-0100-000006000000}"/>
  <tableColumns count="3">
    <tableColumn id="1" xr3:uid="{00000000-0010-0000-0100-000001000000}" name="Kolom1" dataDxfId="30"/>
    <tableColumn id="2" xr3:uid="{00000000-0010-0000-0100-000002000000}" name="Realisatie" dataDxfId="186"/>
    <tableColumn id="3" xr3:uid="{00000000-0010-0000-0100-000003000000}" name="Doel" dataDxfId="185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3000000}" name="Tabelle5810121425" displayName="Tabelle5810121425" ref="J163:L199" totalsRowShown="0" headerRowDxfId="36" dataDxfId="44">
  <autoFilter ref="J163:L199" xr:uid="{00000000-0009-0000-0100-000018000000}"/>
  <tableColumns count="3">
    <tableColumn id="1" xr3:uid="{00000000-0010-0000-1300-000001000000}" name="Kolom1" dataDxfId="5"/>
    <tableColumn id="2" xr3:uid="{00000000-0010-0000-1300-000002000000}" name="Realisatie" dataDxfId="128" dataCellStyle="Komma">
      <calculatedColumnFormula>IF(DASHBOARD!$E$7=Data!$B$3,Data!K5,IF(DASHBOARD!$E$7=Data!$B$43,K45,IF(DASHBOARD!$E$7=Data!$B$83,Data!K85,IF(DASHBOARD!$E$7=Data!$B$123,Data!K125,""))))</calculatedColumnFormula>
    </tableColumn>
    <tableColumn id="3" xr3:uid="{00000000-0010-0000-1300-000003000000}" name="Doel" dataDxfId="127" dataCellStyle="Komma">
      <calculatedColumnFormula>IF(DASHBOARD!$J$7=Data!$J$3,Data!L5,IF(DASHBOARD!$J$7=Data!$J$43,L45,IF(DASHBOARD!$J$7=Data!$J$83,Data!L85,IF(DASHBOARD!$J$7=Data!$J$123,Data!L125,""))))</calculatedColumnFormula>
    </tableColumn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4000000}" name="Tabelle6911131526" displayName="Tabelle6911131526" ref="N163:P199" totalsRowShown="0" headerRowDxfId="37" dataDxfId="45">
  <autoFilter ref="N163:P199" xr:uid="{00000000-0009-0000-0100-000019000000}"/>
  <tableColumns count="3">
    <tableColumn id="1" xr3:uid="{00000000-0010-0000-1400-000001000000}" name="Kolom1" dataDxfId="4"/>
    <tableColumn id="2" xr3:uid="{00000000-0010-0000-1400-000002000000}" name="Realisatie" dataDxfId="126" dataCellStyle="Komma">
      <calculatedColumnFormula>IF(AND(DASHBOARD!$E$7=Data!$B$3,DASHBOARD!$H$7=Data!$C$3),Data!O5,IF(AND(DASHBOARD!$E$7=Data!$B$43,DASHBOARD!$H$7=Data!$C$43),Data!O45,IF(AND(DASHBOARD!$E$7=Data!$B$83,DASHBOARD!$H$7=Data!$C$83),Data!O85,IF(AND(DASHBOARD!$E$7=Data!$B$123,DASHBOARD!$H$7=Data!$C$123),Data!O125,""))))</calculatedColumnFormula>
    </tableColumn>
    <tableColumn id="3" xr3:uid="{00000000-0010-0000-1400-000003000000}" name="Doel" dataDxfId="125" dataCellStyle="Komma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5000000}" name="Tabelle1527" displayName="Tabelle1527" ref="J203:L209" totalsRowShown="0" headerRowDxfId="124" dataDxfId="122" headerRowBorderDxfId="123" tableBorderDxfId="121" totalsRowBorderDxfId="120">
  <autoFilter ref="J203:L209" xr:uid="{00000000-0009-0000-0100-00001A000000}"/>
  <tableColumns count="3">
    <tableColumn id="1" xr3:uid="{00000000-0010-0000-1500-000001000000}" name="Spalte1" dataDxfId="33"/>
    <tableColumn id="2" xr3:uid="{00000000-0010-0000-1500-000002000000}" name="Spalte2" dataDxfId="119"/>
    <tableColumn id="3" xr3:uid="{00000000-0010-0000-1500-000003000000}" name="Spalte3" dataDxfId="118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6000000}" name="Tabelle528" displayName="Tabelle528" ref="R4:T40" totalsRowShown="0" headerRowDxfId="117" dataDxfId="116">
  <autoFilter ref="R4:T40" xr:uid="{00000000-0009-0000-0100-00001B000000}"/>
  <tableColumns count="3">
    <tableColumn id="1" xr3:uid="{00000000-0010-0000-1600-000001000000}" name="Kolom1" dataDxfId="27"/>
    <tableColumn id="2" xr3:uid="{00000000-0010-0000-1600-000002000000}" name="Realisatie" dataDxfId="115"/>
    <tableColumn id="3" xr3:uid="{00000000-0010-0000-1600-000003000000}" name="Doel" dataDxfId="114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7000000}" name="Tabelle629" displayName="Tabelle629" ref="V4:X40" totalsRowShown="0" headerRowDxfId="113" dataDxfId="112">
  <autoFilter ref="V4:X40" xr:uid="{00000000-0009-0000-0100-00001C000000}"/>
  <tableColumns count="3">
    <tableColumn id="1" xr3:uid="{00000000-0010-0000-1700-000001000000}" name="Kolom1" dataDxfId="26"/>
    <tableColumn id="2" xr3:uid="{00000000-0010-0000-1700-000002000000}" name="Realisatie" dataDxfId="111"/>
    <tableColumn id="3" xr3:uid="{00000000-0010-0000-1700-000003000000}" name="Doel" dataDxfId="110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8000000}" name="Tabelle5830" displayName="Tabelle5830" ref="R44:T80" totalsRowShown="0" headerRowDxfId="62" dataDxfId="109">
  <autoFilter ref="R44:T80" xr:uid="{00000000-0009-0000-0100-00001D000000}"/>
  <tableColumns count="3">
    <tableColumn id="1" xr3:uid="{00000000-0010-0000-1800-000001000000}" name="Kolom1" dataDxfId="19"/>
    <tableColumn id="2" xr3:uid="{00000000-0010-0000-1800-000002000000}" name="Realisatie" dataDxfId="108"/>
    <tableColumn id="3" xr3:uid="{00000000-0010-0000-1800-000003000000}" name="Doel" dataDxfId="107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9000000}" name="Tabelle6931" displayName="Tabelle6931" ref="V44:X80" totalsRowShown="0" headerRowDxfId="63" dataDxfId="106">
  <autoFilter ref="V44:X80" xr:uid="{00000000-0009-0000-0100-00001E000000}"/>
  <tableColumns count="3">
    <tableColumn id="1" xr3:uid="{00000000-0010-0000-1900-000001000000}" name="Kolom1" dataDxfId="18"/>
    <tableColumn id="2" xr3:uid="{00000000-0010-0000-1900-000002000000}" name="Realisatie" dataDxfId="105"/>
    <tableColumn id="3" xr3:uid="{00000000-0010-0000-1900-000003000000}" name="Doel" dataDxfId="104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A000000}" name="Tabelle5810121436" displayName="Tabelle5810121436" ref="R163:T199" totalsRowShown="0" headerRowDxfId="38" dataDxfId="46">
  <autoFilter ref="R163:T199" xr:uid="{00000000-0009-0000-0100-000023000000}"/>
  <tableColumns count="3">
    <tableColumn id="1" xr3:uid="{00000000-0010-0000-1A00-000001000000}" name="Kolom1" dataDxfId="3"/>
    <tableColumn id="2" xr3:uid="{00000000-0010-0000-1A00-000002000000}" name="Realisatie" dataDxfId="103" dataCellStyle="Komma">
      <calculatedColumnFormula>IF(DASHBOARD!$E$21=Data!$R$3,Data!S5,IF(DASHBOARD!$E$21=Data!$R$43,Data!S45,""))</calculatedColumnFormula>
    </tableColumn>
    <tableColumn id="3" xr3:uid="{00000000-0010-0000-1A00-000003000000}" name="Doel" dataDxfId="102" dataCellStyle="Komma">
      <calculatedColumnFormula>IF(DASHBOARD!$E$21=Data!$R$3,Data!T5,IF(DASHBOARD!$E$21=Data!$R$43,Data!T45,""))</calculatedColumnFormula>
    </tableColumn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1B000000}" name="Tabelle6911131537" displayName="Tabelle6911131537" ref="V163:X199" totalsRowShown="0" headerRowDxfId="39" dataDxfId="47">
  <autoFilter ref="V163:X199" xr:uid="{00000000-0009-0000-0100-000024000000}"/>
  <tableColumns count="3">
    <tableColumn id="1" xr3:uid="{00000000-0010-0000-1B00-000001000000}" name="Kolom1" dataDxfId="2"/>
    <tableColumn id="2" xr3:uid="{00000000-0010-0000-1B00-000002000000}" name="Realisatie" dataDxfId="101" dataCellStyle="Komma">
      <calculatedColumnFormula>IF(AND(DASHBOARD!$E$7=Data!$B$3,DASHBOARD!$H$7=Data!$C$3),Data!W5,IF(AND(DASHBOARD!$E$7=Data!$B$43,DASHBOARD!$H$7=Data!$C$43),Data!W45,IF(AND(DASHBOARD!$E$7=Data!$B$83,DASHBOARD!$H$7=Data!$C$83),Data!W85,IF(AND(DASHBOARD!$E$7=Data!$B$123,DASHBOARD!$H$7=Data!$C$123),Data!W125,""))))</calculatedColumnFormula>
    </tableColumn>
    <tableColumn id="3" xr3:uid="{00000000-0010-0000-1B00-000003000000}" name="Doel" dataDxfId="100" dataCellStyle="Komma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C000000}" name="Tabelle1538" displayName="Tabelle1538" ref="R203:T209" totalsRowShown="0" headerRowDxfId="99" dataDxfId="97" headerRowBorderDxfId="98" tableBorderDxfId="96" totalsRowBorderDxfId="95">
  <autoFilter ref="R203:T209" xr:uid="{00000000-0009-0000-0100-000025000000}"/>
  <tableColumns count="3">
    <tableColumn id="1" xr3:uid="{00000000-0010-0000-1C00-000001000000}" name="Spalte1" dataDxfId="32"/>
    <tableColumn id="2" xr3:uid="{00000000-0010-0000-1C00-000002000000}" name="Spalte2" dataDxfId="94"/>
    <tableColumn id="3" xr3:uid="{00000000-0010-0000-1C00-000003000000}" name="Spalte3" dataDxfId="9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elle58" displayName="Tabelle58" ref="B44:D80" totalsRowShown="0" headerRowDxfId="58" dataDxfId="184">
  <autoFilter ref="B44:D80" xr:uid="{00000000-0009-0000-0100-000007000000}"/>
  <tableColumns count="3">
    <tableColumn id="1" xr3:uid="{00000000-0010-0000-0200-000001000000}" name="Kolom1" dataDxfId="23"/>
    <tableColumn id="2" xr3:uid="{00000000-0010-0000-0200-000002000000}" name="Realisatie" dataDxfId="183"/>
    <tableColumn id="3" xr3:uid="{00000000-0010-0000-0200-000003000000}" name="Doel" dataDxfId="182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D000000}" name="Tabelle52839" displayName="Tabelle52839" ref="Z4:AB40" totalsRowShown="0" headerRowDxfId="92" dataDxfId="91">
  <autoFilter ref="Z4:AB40" xr:uid="{00000000-0009-0000-0100-000026000000}"/>
  <tableColumns count="3">
    <tableColumn id="1" xr3:uid="{00000000-0010-0000-1D00-000001000000}" name="Kolom1" dataDxfId="25"/>
    <tableColumn id="2" xr3:uid="{00000000-0010-0000-1D00-000002000000}" name="Realisatie" dataDxfId="90"/>
    <tableColumn id="3" xr3:uid="{00000000-0010-0000-1D00-000003000000}" name="Doel" dataDxfId="89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E000000}" name="Tabelle62940" displayName="Tabelle62940" ref="AD4:AF40" totalsRowShown="0" headerRowDxfId="88" dataDxfId="87">
  <autoFilter ref="AD4:AF40" xr:uid="{00000000-0009-0000-0100-000027000000}"/>
  <tableColumns count="3">
    <tableColumn id="1" xr3:uid="{00000000-0010-0000-1E00-000001000000}" name="Kolom1" dataDxfId="24"/>
    <tableColumn id="2" xr3:uid="{00000000-0010-0000-1E00-000002000000}" name="Realisatie" dataDxfId="86"/>
    <tableColumn id="3" xr3:uid="{00000000-0010-0000-1E00-000003000000}" name="Doel" dataDxfId="85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F000000}" name="Tabelle583041" displayName="Tabelle583041" ref="Z44:AB80" totalsRowShown="0" headerRowDxfId="64" dataDxfId="84">
  <autoFilter ref="Z44:AB80" xr:uid="{00000000-0009-0000-0100-000028000000}"/>
  <tableColumns count="3">
    <tableColumn id="1" xr3:uid="{00000000-0010-0000-1F00-000001000000}" name="Kolom1" dataDxfId="17"/>
    <tableColumn id="2" xr3:uid="{00000000-0010-0000-1F00-000002000000}" name="Realisatie" dataDxfId="83">
      <calculatedColumnFormula>C85/AA5</calculatedColumnFormula>
    </tableColumn>
    <tableColumn id="3" xr3:uid="{00000000-0010-0000-1F00-000003000000}" name="Doel" dataDxfId="82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0000000}" name="Tabelle693142" displayName="Tabelle693142" ref="AD44:AF80" totalsRowShown="0" headerRowDxfId="65" dataDxfId="81">
  <autoFilter ref="AD44:AF80" xr:uid="{00000000-0009-0000-0100-000029000000}"/>
  <tableColumns count="3">
    <tableColumn id="1" xr3:uid="{00000000-0010-0000-2000-000001000000}" name="Kolom1" dataDxfId="16"/>
    <tableColumn id="2" xr3:uid="{00000000-0010-0000-2000-000002000000}" name="Realisatie" dataDxfId="80"/>
    <tableColumn id="3" xr3:uid="{00000000-0010-0000-2000-000003000000}" name="Doel" dataDxfId="79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1000000}" name="Tabelle581012143643" displayName="Tabelle581012143643" ref="Z163:AB199" totalsRowShown="0" headerRowDxfId="40" dataDxfId="48">
  <autoFilter ref="Z163:AB199" xr:uid="{00000000-0009-0000-0100-00002A000000}"/>
  <tableColumns count="3">
    <tableColumn id="1" xr3:uid="{00000000-0010-0000-2100-000001000000}" name="Kolom1" dataDxfId="1"/>
    <tableColumn id="2" xr3:uid="{00000000-0010-0000-2100-000002000000}" name="Realisatie" dataDxfId="78" dataCellStyle="Komma">
      <calculatedColumnFormula>IF(DASHBOARD!$J$21=Data!$Z$3,Data!AA5,IF(DASHBOARD!$J$21=Data!$Z$43,Data!AA45,""))</calculatedColumnFormula>
    </tableColumn>
    <tableColumn id="3" xr3:uid="{00000000-0010-0000-2100-000003000000}" name="Doel" dataDxfId="77" dataCellStyle="Komma">
      <calculatedColumnFormula>IF(DASHBOARD!$J$21=Data!$Z$3,Data!AB5,IF(DASHBOARD!$J$21=Data!$Z$43,Data!AB45,""))</calculatedColumnFormula>
    </tableColumn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2000000}" name="Tabelle691113153744" displayName="Tabelle691113153744" ref="AD163:AF199" totalsRowShown="0" headerRowDxfId="41" dataDxfId="49">
  <autoFilter ref="AD163:AF199" xr:uid="{00000000-0009-0000-0100-00002B000000}"/>
  <tableColumns count="3">
    <tableColumn id="1" xr3:uid="{00000000-0010-0000-2200-000001000000}" name="Kolom1" dataDxfId="0"/>
    <tableColumn id="2" xr3:uid="{00000000-0010-0000-2200-000002000000}" name="Realisatie" dataDxfId="76" dataCellStyle="Komma">
      <calculatedColumnFormula>IF(AND(DASHBOARD!$E$7=Data!$B$3,DASHBOARD!$H$7=Data!$C$3),Data!AE5,IF(AND(DASHBOARD!$E$7=Data!$B$43,DASHBOARD!$H$7=Data!$C$43),Data!AE45,IF(AND(DASHBOARD!$E$7=Data!$B$83,DASHBOARD!$H$7=Data!$C$83),Data!AE85,IF(AND(DASHBOARD!$E$7=Data!$B$123,DASHBOARD!$H$7=Data!$C$123),Data!AE125,""))))</calculatedColumnFormula>
    </tableColumn>
    <tableColumn id="3" xr3:uid="{00000000-0010-0000-2200-000003000000}" name="Doel" dataDxfId="75" dataCellStyle="Komma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3000000}" name="Tabelle153845" displayName="Tabelle153845" ref="Z203:AB209" totalsRowShown="0" headerRowDxfId="74" dataDxfId="72" headerRowBorderDxfId="73" tableBorderDxfId="71" totalsRowBorderDxfId="70">
  <autoFilter ref="Z203:AB209" xr:uid="{00000000-0009-0000-0100-00002C000000}"/>
  <tableColumns count="3">
    <tableColumn id="1" xr3:uid="{00000000-0010-0000-2300-000001000000}" name="Spalte1" dataDxfId="31"/>
    <tableColumn id="2" xr3:uid="{00000000-0010-0000-2300-000002000000}" name="Spalte2" dataDxfId="69"/>
    <tableColumn id="3" xr3:uid="{00000000-0010-0000-2300-000003000000}" name="Spalte3" dataDxfId="6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Tabelle69" displayName="Tabelle69" ref="F44:H80" totalsRowShown="0" headerRowDxfId="59" dataDxfId="181">
  <autoFilter ref="F44:H80" xr:uid="{00000000-0009-0000-0100-000008000000}"/>
  <tableColumns count="3">
    <tableColumn id="1" xr3:uid="{00000000-0010-0000-0300-000001000000}" name="Kolom1" dataDxfId="22"/>
    <tableColumn id="2" xr3:uid="{00000000-0010-0000-0300-000002000000}" name="Realisatie" dataDxfId="180"/>
    <tableColumn id="3" xr3:uid="{00000000-0010-0000-0300-000003000000}" name="Doel" dataDxfId="17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elle5810" displayName="Tabelle5810" ref="B84:D120" totalsRowShown="0" headerRowDxfId="54" dataDxfId="178">
  <autoFilter ref="B84:D120" xr:uid="{00000000-0009-0000-0100-000009000000}"/>
  <tableColumns count="3">
    <tableColumn id="1" xr3:uid="{00000000-0010-0000-0400-000001000000}" name="Kolom1" dataDxfId="15"/>
    <tableColumn id="2" xr3:uid="{00000000-0010-0000-0400-000002000000}" name="Realisatie" dataDxfId="177">
      <calculatedColumnFormula>C5-C45</calculatedColumnFormula>
    </tableColumn>
    <tableColumn id="3" xr3:uid="{00000000-0010-0000-0400-000003000000}" name="Doel" dataDxfId="176">
      <calculatedColumnFormula>D5-D45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elle6911" displayName="Tabelle6911" ref="F84:H120" totalsRowShown="0" headerRowDxfId="55" dataDxfId="175">
  <autoFilter ref="F84:H120" xr:uid="{00000000-0009-0000-0100-00000A000000}"/>
  <tableColumns count="3">
    <tableColumn id="1" xr3:uid="{00000000-0010-0000-0500-000001000000}" name="Kolom1" dataDxfId="14"/>
    <tableColumn id="2" xr3:uid="{00000000-0010-0000-0500-000002000000}" name="Realisatie" dataDxfId="174"/>
    <tableColumn id="3" xr3:uid="{00000000-0010-0000-0500-000003000000}" name="Doel" dataDxfId="17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elle581012" displayName="Tabelle581012" ref="B124:D160" totalsRowShown="0" headerRowDxfId="50" dataDxfId="172">
  <autoFilter ref="B124:D160" xr:uid="{00000000-0009-0000-0100-00000B000000}"/>
  <tableColumns count="3">
    <tableColumn id="1" xr3:uid="{00000000-0010-0000-0600-000001000000}" name="Kolom1" dataDxfId="11"/>
    <tableColumn id="2" xr3:uid="{00000000-0010-0000-0600-000002000000}" name="Realisatie" dataDxfId="171">
      <calculatedColumnFormula>C85/C5</calculatedColumnFormula>
    </tableColumn>
    <tableColumn id="3" xr3:uid="{00000000-0010-0000-0600-000003000000}" name="Doel" dataDxfId="170">
      <calculatedColumnFormula>D85/D5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7000000}" name="Tabelle691113" displayName="Tabelle691113" ref="F124:H160" totalsRowShown="0" headerRowDxfId="51" dataDxfId="169">
  <autoFilter ref="F124:H160" xr:uid="{00000000-0009-0000-0100-00000C000000}"/>
  <tableColumns count="3">
    <tableColumn id="1" xr3:uid="{00000000-0010-0000-0700-000001000000}" name="Kolom1" dataDxfId="10"/>
    <tableColumn id="2" xr3:uid="{00000000-0010-0000-0700-000002000000}" name="Realisatie" dataDxfId="168">
      <calculatedColumnFormula>G85/G5</calculatedColumnFormula>
    </tableColumn>
    <tableColumn id="3" xr3:uid="{00000000-0010-0000-0700-000003000000}" name="Doel" dataDxfId="167">
      <calculatedColumnFormula>H85/H5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8000000}" name="Tabelle58101214" displayName="Tabelle58101214" ref="B163:D199" totalsRowShown="0" headerRowDxfId="34" dataDxfId="42">
  <autoFilter ref="B163:D199" xr:uid="{00000000-0009-0000-0100-00000D000000}"/>
  <tableColumns count="3">
    <tableColumn id="1" xr3:uid="{00000000-0010-0000-0800-000001000000}" name="Kolom1" dataDxfId="7"/>
    <tableColumn id="2" xr3:uid="{00000000-0010-0000-0800-000002000000}" name="Realisatie" dataDxfId="166" dataCellStyle="Komma">
      <calculatedColumnFormula>IF(DASHBOARD!$E$7=Data!$B$3,Data!C5,IF(DASHBOARD!$E$7=Data!$B$43,C45,IF(DASHBOARD!$E$7=Data!$B$83,Data!C85,IF(DASHBOARD!$E$7=Data!$B$123,Data!C125,""))))</calculatedColumnFormula>
    </tableColumn>
    <tableColumn id="3" xr3:uid="{00000000-0010-0000-0800-000003000000}" name="Doel" dataDxfId="165" dataCellStyle="Komma">
      <calculatedColumnFormula>IF(DASHBOARD!$E$7=Data!$B$3,Data!D5,IF(DASHBOARD!$E$7=Data!$B$43,D45,IF(DASHBOARD!$E$7=Data!$B$83,Data!D85,IF(DASHBOARD!$E$7=Data!$B$123,Data!D125,""))))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-excel-specialist.nl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07245"/>
  </sheetPr>
  <dimension ref="A1:M53"/>
  <sheetViews>
    <sheetView showGridLines="0" tabSelected="1" zoomScale="70" zoomScaleNormal="70" workbookViewId="0">
      <selection activeCell="P8" sqref="P8"/>
    </sheetView>
  </sheetViews>
  <sheetFormatPr defaultColWidth="8" defaultRowHeight="12" x14ac:dyDescent="0.35"/>
  <cols>
    <col min="1" max="1" width="0.81640625" style="2" customWidth="1"/>
    <col min="2" max="2" width="18.7265625" style="2" customWidth="1"/>
    <col min="3" max="3" width="12.81640625" style="2" customWidth="1"/>
    <col min="4" max="4" width="1.453125" style="2" customWidth="1"/>
    <col min="5" max="8" width="20.81640625" style="2" customWidth="1"/>
    <col min="9" max="9" width="3" style="2" customWidth="1"/>
    <col min="10" max="13" width="20.81640625" style="2" customWidth="1"/>
    <col min="14" max="14" width="5.1796875" style="2" customWidth="1"/>
    <col min="15" max="16384" width="8" style="2"/>
  </cols>
  <sheetData>
    <row r="1" spans="1:13" ht="6" customHeight="1" thickBot="1" x14ac:dyDescent="0.4"/>
    <row r="2" spans="1:13" ht="20.25" customHeight="1" x14ac:dyDescent="0.45">
      <c r="A2" s="4"/>
      <c r="B2" s="53">
        <f>DATE(BerichtJahr,B13,1)</f>
        <v>44075</v>
      </c>
      <c r="C2" s="53"/>
      <c r="E2" s="62"/>
      <c r="F2" s="72" t="s">
        <v>36</v>
      </c>
      <c r="G2" s="72"/>
      <c r="H2" s="72"/>
      <c r="I2" s="72"/>
      <c r="J2" s="72"/>
      <c r="K2" s="72"/>
      <c r="L2" s="72"/>
      <c r="M2" s="63"/>
    </row>
    <row r="3" spans="1:13" ht="20.25" customHeight="1" x14ac:dyDescent="0.45">
      <c r="A3" s="4"/>
      <c r="B3" s="53"/>
      <c r="C3" s="53"/>
      <c r="E3" s="64"/>
      <c r="F3" s="73"/>
      <c r="G3" s="73"/>
      <c r="H3" s="73"/>
      <c r="I3" s="73"/>
      <c r="J3" s="73"/>
      <c r="K3" s="73"/>
      <c r="L3" s="73"/>
      <c r="M3" s="65"/>
    </row>
    <row r="4" spans="1:13" ht="31.9" customHeight="1" thickBot="1" x14ac:dyDescent="0.5">
      <c r="A4" s="4"/>
      <c r="B4" s="53"/>
      <c r="C4" s="53"/>
      <c r="E4" s="66"/>
      <c r="F4" s="74"/>
      <c r="G4" s="74"/>
      <c r="H4" s="74"/>
      <c r="I4" s="74"/>
      <c r="J4" s="74"/>
      <c r="K4" s="74"/>
      <c r="L4" s="74"/>
      <c r="M4" s="67"/>
    </row>
    <row r="5" spans="1:13" ht="20.25" customHeight="1" x14ac:dyDescent="1.65">
      <c r="A5" s="4"/>
      <c r="B5" s="23"/>
      <c r="C5" s="23"/>
    </row>
    <row r="6" spans="1:13" ht="23.25" customHeight="1" x14ac:dyDescent="0.35">
      <c r="A6" s="4"/>
      <c r="B6" s="44"/>
      <c r="C6" s="44"/>
      <c r="E6" s="52" t="str">
        <f>Dropdown!B3</f>
        <v>Financiën</v>
      </c>
      <c r="F6" s="52"/>
      <c r="G6" s="52"/>
      <c r="H6" s="52"/>
      <c r="J6" s="52" t="str">
        <f>Dropdown!B8</f>
        <v>Analyse</v>
      </c>
      <c r="K6" s="52"/>
      <c r="L6" s="52"/>
      <c r="M6" s="52"/>
    </row>
    <row r="7" spans="1:13" ht="20.25" customHeight="1" thickBot="1" x14ac:dyDescent="0.4">
      <c r="A7" s="4"/>
      <c r="B7" s="45"/>
      <c r="C7" s="45"/>
      <c r="E7" s="50" t="s">
        <v>31</v>
      </c>
      <c r="F7" s="50"/>
      <c r="G7" s="50"/>
      <c r="H7" s="26" t="s">
        <v>1</v>
      </c>
      <c r="J7" s="50" t="s">
        <v>22</v>
      </c>
      <c r="K7" s="50"/>
      <c r="L7" s="50"/>
      <c r="M7" s="26" t="s">
        <v>1</v>
      </c>
    </row>
    <row r="8" spans="1:13" ht="20.25" customHeight="1" x14ac:dyDescent="0.35">
      <c r="A8" s="4"/>
      <c r="B8" s="4"/>
      <c r="C8" s="4"/>
      <c r="E8" s="9"/>
      <c r="F8" s="10"/>
      <c r="G8" s="11"/>
      <c r="H8" s="15"/>
      <c r="J8" s="9"/>
      <c r="K8" s="10"/>
      <c r="L8" s="11"/>
      <c r="M8" s="15"/>
    </row>
    <row r="9" spans="1:13" ht="20.25" customHeight="1" thickBot="1" x14ac:dyDescent="0.4">
      <c r="A9" s="4"/>
      <c r="B9" s="54" t="s">
        <v>11</v>
      </c>
      <c r="C9" s="54"/>
      <c r="E9" s="9"/>
      <c r="F9" s="10"/>
      <c r="G9" s="11"/>
      <c r="H9" s="16"/>
      <c r="J9" s="9"/>
      <c r="K9" s="10"/>
      <c r="L9" s="11"/>
      <c r="M9" s="16"/>
    </row>
    <row r="10" spans="1:13" ht="20.25" customHeight="1" x14ac:dyDescent="0.35">
      <c r="A10" s="4"/>
      <c r="B10" s="7">
        <v>1</v>
      </c>
      <c r="C10" s="3"/>
      <c r="E10" s="9"/>
      <c r="F10" s="10"/>
      <c r="G10" s="11"/>
      <c r="H10" s="16"/>
      <c r="J10" s="9"/>
      <c r="K10" s="10"/>
      <c r="L10" s="11"/>
      <c r="M10" s="16"/>
    </row>
    <row r="11" spans="1:13" ht="20.25" customHeight="1" x14ac:dyDescent="0.3">
      <c r="A11" s="4"/>
      <c r="B11" s="56">
        <v>2020</v>
      </c>
      <c r="C11" s="55" t="s">
        <v>12</v>
      </c>
      <c r="E11" s="9"/>
      <c r="F11" s="10"/>
      <c r="G11" s="11"/>
      <c r="H11" s="16"/>
      <c r="J11" s="9"/>
      <c r="K11" s="10"/>
      <c r="L11" s="11"/>
      <c r="M11" s="16"/>
    </row>
    <row r="12" spans="1:13" ht="20.25" customHeight="1" x14ac:dyDescent="0.35">
      <c r="A12" s="4"/>
      <c r="B12" s="8"/>
      <c r="C12" s="6"/>
      <c r="E12" s="9"/>
      <c r="F12" s="10"/>
      <c r="G12" s="11"/>
      <c r="H12" s="16"/>
      <c r="J12" s="9"/>
      <c r="K12" s="10"/>
      <c r="L12" s="11"/>
      <c r="M12" s="16"/>
    </row>
    <row r="13" spans="1:13" ht="20.25" customHeight="1" x14ac:dyDescent="0.3">
      <c r="A13" s="4"/>
      <c r="B13" s="57" t="str">
        <f>CHOOSE(Monatsnummer,"1","2","3","4","5","6","7","8","9","10","11","12")</f>
        <v>9</v>
      </c>
      <c r="C13" s="55" t="s">
        <v>13</v>
      </c>
      <c r="E13" s="9"/>
      <c r="F13" s="10"/>
      <c r="G13" s="11"/>
      <c r="H13" s="16"/>
      <c r="J13" s="9"/>
      <c r="K13" s="10"/>
      <c r="L13" s="11"/>
      <c r="M13" s="16"/>
    </row>
    <row r="14" spans="1:13" ht="20.25" customHeight="1" x14ac:dyDescent="0.35">
      <c r="A14" s="4"/>
      <c r="B14" s="24">
        <v>9</v>
      </c>
      <c r="C14" s="6"/>
      <c r="E14" s="9"/>
      <c r="F14" s="10"/>
      <c r="G14" s="11"/>
      <c r="H14" s="16"/>
      <c r="J14" s="9"/>
      <c r="K14" s="10"/>
      <c r="L14" s="11"/>
      <c r="M14" s="16"/>
    </row>
    <row r="15" spans="1:13" ht="20.25" customHeight="1" x14ac:dyDescent="0.35">
      <c r="A15" s="6"/>
      <c r="B15" s="6"/>
      <c r="C15" s="6"/>
      <c r="E15" s="12"/>
      <c r="F15" s="13"/>
      <c r="G15" s="14"/>
      <c r="H15" s="17"/>
      <c r="J15" s="12"/>
      <c r="K15" s="13"/>
      <c r="L15" s="14"/>
      <c r="M15" s="17"/>
    </row>
    <row r="16" spans="1:13" ht="20.25" customHeight="1" thickBot="1" x14ac:dyDescent="0.4">
      <c r="A16" s="4"/>
      <c r="B16" s="54"/>
      <c r="C16" s="54"/>
      <c r="E16" s="18" t="s">
        <v>43</v>
      </c>
      <c r="F16" s="19" t="s">
        <v>33</v>
      </c>
      <c r="G16" s="19" t="s">
        <v>34</v>
      </c>
      <c r="H16" s="20" t="s">
        <v>44</v>
      </c>
      <c r="J16" s="18" t="s">
        <v>43</v>
      </c>
      <c r="K16" s="19" t="s">
        <v>33</v>
      </c>
      <c r="L16" s="19" t="s">
        <v>34</v>
      </c>
      <c r="M16" s="20" t="s">
        <v>44</v>
      </c>
    </row>
    <row r="17" spans="1:13" ht="20.25" customHeight="1" x14ac:dyDescent="0.35">
      <c r="A17" s="4"/>
      <c r="B17" s="24" t="s">
        <v>5</v>
      </c>
      <c r="C17" s="6"/>
      <c r="E17" s="21" t="s">
        <v>0</v>
      </c>
      <c r="F17" s="79">
        <f>VLOOKUP($B$2,Tabelle58101214[],2,0)</f>
        <v>430</v>
      </c>
      <c r="G17" s="79">
        <f>VLOOKUP($B$2,Tabelle58101214[],3,0)</f>
        <v>280</v>
      </c>
      <c r="H17" s="80">
        <f>IF(E7="Auszahlungen",G17-F17,F17-G17)</f>
        <v>150</v>
      </c>
      <c r="I17" s="41"/>
      <c r="J17" s="42" t="s">
        <v>0</v>
      </c>
      <c r="K17" s="79">
        <f>VLOOKUP($B$2,Tabelle5810121425[],2,0)</f>
        <v>23000</v>
      </c>
      <c r="L17" s="79">
        <f>VLOOKUP($B$2,Tabelle5810121425[],3,0)</f>
        <v>18000</v>
      </c>
      <c r="M17" s="80">
        <f>K17-L17</f>
        <v>5000</v>
      </c>
    </row>
    <row r="18" spans="1:13" ht="20.25" customHeight="1" x14ac:dyDescent="0.35">
      <c r="A18" s="4"/>
      <c r="B18" s="58" t="s">
        <v>38</v>
      </c>
      <c r="C18" s="5"/>
      <c r="E18" s="22" t="s">
        <v>1</v>
      </c>
      <c r="F18" s="81">
        <f>VLOOKUP($B$2,Tabelle69111315[],2,0)</f>
        <v>1810</v>
      </c>
      <c r="G18" s="81">
        <f>VLOOKUP($B$2,Tabelle69111315[],3,0)</f>
        <v>2120</v>
      </c>
      <c r="H18" s="82">
        <f>IF(E7="Auszahlungen",G18-F18,F18-G18)</f>
        <v>-310</v>
      </c>
      <c r="I18" s="41"/>
      <c r="J18" s="43" t="s">
        <v>1</v>
      </c>
      <c r="K18" s="81">
        <f>VLOOKUP($B$2,Tabelle6911131526[],2,0)</f>
        <v>124800</v>
      </c>
      <c r="L18" s="81">
        <f>VLOOKUP($B$2,Tabelle6911131526[],3,0)</f>
        <v>125000</v>
      </c>
      <c r="M18" s="82">
        <f>K18-L18</f>
        <v>-200</v>
      </c>
    </row>
    <row r="19" spans="1:13" ht="20.25" customHeight="1" x14ac:dyDescent="0.35">
      <c r="A19" s="4"/>
      <c r="B19" s="25" t="s">
        <v>14</v>
      </c>
      <c r="C19" s="4"/>
      <c r="J19" s="1"/>
      <c r="K19" s="1"/>
    </row>
    <row r="20" spans="1:13" ht="20.25" customHeight="1" x14ac:dyDescent="0.35">
      <c r="A20" s="4"/>
      <c r="B20" s="4"/>
      <c r="C20" s="4"/>
      <c r="E20" s="52" t="str">
        <f>Dropdown!B13</f>
        <v>Activiteiten</v>
      </c>
      <c r="F20" s="52"/>
      <c r="G20" s="52"/>
      <c r="H20" s="52"/>
      <c r="J20" s="52" t="str">
        <f>Dropdown!B16</f>
        <v>Tijd</v>
      </c>
      <c r="K20" s="52"/>
      <c r="L20" s="52"/>
      <c r="M20" s="52"/>
    </row>
    <row r="21" spans="1:13" ht="20.25" customHeight="1" x14ac:dyDescent="0.35">
      <c r="A21" s="4"/>
      <c r="B21" s="58" t="s">
        <v>37</v>
      </c>
      <c r="C21" s="4"/>
      <c r="E21" s="50" t="s">
        <v>24</v>
      </c>
      <c r="F21" s="50"/>
      <c r="G21" s="50"/>
      <c r="H21" s="26" t="s">
        <v>1</v>
      </c>
      <c r="J21" s="50" t="s">
        <v>27</v>
      </c>
      <c r="K21" s="50"/>
      <c r="L21" s="50"/>
      <c r="M21" s="26" t="s">
        <v>1</v>
      </c>
    </row>
    <row r="22" spans="1:13" ht="20.25" customHeight="1" x14ac:dyDescent="0.35">
      <c r="A22" s="4"/>
      <c r="B22" s="59" t="s">
        <v>15</v>
      </c>
      <c r="C22" s="4"/>
      <c r="E22" s="9"/>
      <c r="F22" s="10"/>
      <c r="G22" s="11"/>
      <c r="H22" s="15"/>
      <c r="J22" s="9"/>
      <c r="K22" s="10"/>
      <c r="L22" s="11"/>
      <c r="M22" s="15"/>
    </row>
    <row r="23" spans="1:13" ht="20.25" customHeight="1" x14ac:dyDescent="0.35">
      <c r="A23" s="4"/>
      <c r="B23" s="4"/>
      <c r="C23" s="4"/>
      <c r="E23" s="9"/>
      <c r="F23" s="10"/>
      <c r="G23" s="11"/>
      <c r="H23" s="16"/>
      <c r="J23" s="9"/>
      <c r="K23" s="10"/>
      <c r="L23" s="11"/>
      <c r="M23" s="16"/>
    </row>
    <row r="24" spans="1:13" ht="20.25" customHeight="1" x14ac:dyDescent="0.35">
      <c r="A24" s="4"/>
      <c r="B24" s="58" t="s">
        <v>6</v>
      </c>
      <c r="C24" s="60"/>
      <c r="E24" s="9"/>
      <c r="F24" s="10"/>
      <c r="G24" s="11"/>
      <c r="H24" s="16"/>
      <c r="J24" s="9"/>
      <c r="K24" s="10"/>
      <c r="L24" s="11"/>
      <c r="M24" s="16"/>
    </row>
    <row r="25" spans="1:13" ht="20.25" customHeight="1" x14ac:dyDescent="0.35">
      <c r="A25" s="4"/>
      <c r="B25" s="61">
        <v>44503</v>
      </c>
      <c r="C25" s="61"/>
      <c r="E25" s="9"/>
      <c r="F25" s="10"/>
      <c r="G25" s="11"/>
      <c r="H25" s="16"/>
      <c r="J25" s="9"/>
      <c r="K25" s="10"/>
      <c r="L25" s="11"/>
      <c r="M25" s="16"/>
    </row>
    <row r="26" spans="1:13" ht="20.25" customHeight="1" x14ac:dyDescent="0.35">
      <c r="A26" s="4"/>
      <c r="B26" s="60"/>
      <c r="C26" s="60"/>
      <c r="E26" s="9"/>
      <c r="F26" s="10"/>
      <c r="G26" s="11"/>
      <c r="H26" s="16"/>
      <c r="J26" s="9"/>
      <c r="K26" s="10"/>
      <c r="L26" s="11"/>
      <c r="M26" s="16"/>
    </row>
    <row r="27" spans="1:13" ht="20.25" customHeight="1" x14ac:dyDescent="0.35">
      <c r="A27" s="4"/>
      <c r="B27" s="58" t="s">
        <v>7</v>
      </c>
      <c r="C27" s="60"/>
      <c r="E27" s="9"/>
      <c r="F27" s="10"/>
      <c r="G27" s="11"/>
      <c r="H27" s="16"/>
      <c r="J27" s="9"/>
      <c r="K27" s="10"/>
      <c r="L27" s="11"/>
      <c r="M27" s="16"/>
    </row>
    <row r="28" spans="1:13" ht="20.25" customHeight="1" x14ac:dyDescent="0.35">
      <c r="A28" s="4"/>
      <c r="B28" s="59" t="s">
        <v>8</v>
      </c>
      <c r="C28" s="60"/>
      <c r="E28" s="9"/>
      <c r="F28" s="10"/>
      <c r="G28" s="11"/>
      <c r="H28" s="16"/>
      <c r="J28" s="9"/>
      <c r="K28" s="10"/>
      <c r="L28" s="11"/>
      <c r="M28" s="16"/>
    </row>
    <row r="29" spans="1:13" ht="20.25" customHeight="1" x14ac:dyDescent="0.35">
      <c r="A29" s="4"/>
      <c r="B29" s="4"/>
      <c r="C29" s="4"/>
      <c r="E29" s="12"/>
      <c r="F29" s="13"/>
      <c r="G29" s="14"/>
      <c r="H29" s="17"/>
      <c r="J29" s="12"/>
      <c r="K29" s="13"/>
      <c r="L29" s="14"/>
      <c r="M29" s="17"/>
    </row>
    <row r="30" spans="1:13" ht="20.25" customHeight="1" x14ac:dyDescent="0.35">
      <c r="A30" s="4"/>
      <c r="B30" s="4"/>
      <c r="C30" s="4"/>
      <c r="E30" s="18" t="s">
        <v>43</v>
      </c>
      <c r="F30" s="19" t="s">
        <v>33</v>
      </c>
      <c r="G30" s="19" t="s">
        <v>34</v>
      </c>
      <c r="H30" s="20" t="s">
        <v>44</v>
      </c>
      <c r="J30" s="18" t="s">
        <v>43</v>
      </c>
      <c r="K30" s="19" t="s">
        <v>33</v>
      </c>
      <c r="L30" s="19" t="s">
        <v>34</v>
      </c>
      <c r="M30" s="20" t="s">
        <v>44</v>
      </c>
    </row>
    <row r="31" spans="1:13" ht="20.25" customHeight="1" x14ac:dyDescent="0.35">
      <c r="A31" s="4"/>
      <c r="B31" s="4"/>
      <c r="C31" s="4"/>
      <c r="E31" s="21" t="s">
        <v>0</v>
      </c>
      <c r="F31" s="79">
        <f>VLOOKUP($B$2,Tabelle5810121436[],2,0)</f>
        <v>5</v>
      </c>
      <c r="G31" s="79">
        <f>VLOOKUP($B$2,Tabelle5810121436[],3,0)</f>
        <v>4</v>
      </c>
      <c r="H31" s="80">
        <f>F31-G31</f>
        <v>1</v>
      </c>
      <c r="I31" s="83"/>
      <c r="J31" s="84" t="s">
        <v>0</v>
      </c>
      <c r="K31" s="79">
        <f>VLOOKUP($B$2,Tabelle581012143643[],2,0)</f>
        <v>40</v>
      </c>
      <c r="L31" s="79">
        <f>VLOOKUP($B$2,Tabelle581012143643[],3,0)</f>
        <v>20</v>
      </c>
      <c r="M31" s="80">
        <f>IF(J21="Arbeitszeit",L31-K31,K31-L31)</f>
        <v>20</v>
      </c>
    </row>
    <row r="32" spans="1:13" ht="20.25" customHeight="1" x14ac:dyDescent="0.35">
      <c r="A32" s="4"/>
      <c r="B32" s="4"/>
      <c r="C32" s="4"/>
      <c r="E32" s="22" t="s">
        <v>1</v>
      </c>
      <c r="F32" s="81">
        <f>VLOOKUP($B$2,Tabelle6911131537[],2,0)</f>
        <v>26</v>
      </c>
      <c r="G32" s="81">
        <f>VLOOKUP($B$2,Tabelle6911131537[],3,0)</f>
        <v>36</v>
      </c>
      <c r="H32" s="82">
        <f>F32-G32</f>
        <v>-10</v>
      </c>
      <c r="I32" s="83"/>
      <c r="J32" s="85" t="s">
        <v>1</v>
      </c>
      <c r="K32" s="81">
        <f>VLOOKUP($B$2,Tabelle691113153744[],2,0)</f>
        <v>185</v>
      </c>
      <c r="L32" s="81">
        <f>VLOOKUP($B$2,Tabelle691113153744[],3,0)</f>
        <v>180</v>
      </c>
      <c r="M32" s="82">
        <f>IF(J21="Arbeitszeit",L32-K32,K32-L32)</f>
        <v>5</v>
      </c>
    </row>
    <row r="33" ht="20.25" customHeight="1" x14ac:dyDescent="0.35"/>
    <row r="34" ht="20.25" customHeight="1" x14ac:dyDescent="0.35"/>
    <row r="35" ht="20.25" customHeight="1" x14ac:dyDescent="0.35"/>
    <row r="36" ht="20.25" customHeight="1" x14ac:dyDescent="0.35"/>
    <row r="37" ht="20.25" customHeight="1" x14ac:dyDescent="0.35"/>
    <row r="38" ht="20.25" customHeight="1" x14ac:dyDescent="0.35"/>
    <row r="39" ht="20.25" customHeight="1" x14ac:dyDescent="0.35"/>
    <row r="40" ht="20.25" customHeight="1" x14ac:dyDescent="0.35"/>
    <row r="41" ht="20.25" customHeight="1" x14ac:dyDescent="0.35"/>
    <row r="42" ht="20.25" customHeight="1" x14ac:dyDescent="0.35"/>
    <row r="43" ht="20.25" customHeight="1" x14ac:dyDescent="0.35"/>
    <row r="44" ht="20.25" customHeight="1" x14ac:dyDescent="0.35"/>
    <row r="45" ht="20.25" customHeight="1" x14ac:dyDescent="0.35"/>
    <row r="46" ht="20.25" customHeight="1" x14ac:dyDescent="0.35"/>
    <row r="47" ht="20.25" customHeight="1" x14ac:dyDescent="0.35"/>
    <row r="48" ht="20.25" customHeight="1" x14ac:dyDescent="0.35"/>
    <row r="49" ht="20.25" customHeight="1" x14ac:dyDescent="0.35"/>
    <row r="50" ht="20.25" customHeight="1" x14ac:dyDescent="0.35"/>
    <row r="51" ht="20.25" customHeight="1" x14ac:dyDescent="0.35"/>
    <row r="52" ht="20.25" customHeight="1" x14ac:dyDescent="0.35"/>
    <row r="53" ht="20.25" customHeight="1" x14ac:dyDescent="0.35"/>
  </sheetData>
  <mergeCells count="13">
    <mergeCell ref="B16:C16"/>
    <mergeCell ref="B25:C25"/>
    <mergeCell ref="F2:L4"/>
    <mergeCell ref="E20:H20"/>
    <mergeCell ref="E21:G21"/>
    <mergeCell ref="J20:M20"/>
    <mergeCell ref="J21:L21"/>
    <mergeCell ref="B9:C9"/>
    <mergeCell ref="E6:H6"/>
    <mergeCell ref="J6:M6"/>
    <mergeCell ref="E7:G7"/>
    <mergeCell ref="J7:L7"/>
    <mergeCell ref="B2:C4"/>
  </mergeCells>
  <conditionalFormatting sqref="H31">
    <cfRule type="iconSet" priority="13">
      <iconSet>
        <cfvo type="percent" val="0"/>
        <cfvo type="num" val="0"/>
        <cfvo type="num" val="0"/>
      </iconSet>
    </cfRule>
  </conditionalFormatting>
  <conditionalFormatting sqref="H32">
    <cfRule type="iconSet" priority="12">
      <iconSet>
        <cfvo type="percent" val="0"/>
        <cfvo type="num" val="0"/>
        <cfvo type="num" val="0"/>
      </iconSet>
    </cfRule>
  </conditionalFormatting>
  <conditionalFormatting sqref="M31">
    <cfRule type="iconSet" priority="11">
      <iconSet>
        <cfvo type="percent" val="0"/>
        <cfvo type="num" val="0"/>
        <cfvo type="num" val="0"/>
      </iconSet>
    </cfRule>
  </conditionalFormatting>
  <conditionalFormatting sqref="M17">
    <cfRule type="iconSet" priority="9">
      <iconSet>
        <cfvo type="percent" val="0"/>
        <cfvo type="num" val="0"/>
        <cfvo type="num" val="0"/>
      </iconSet>
    </cfRule>
  </conditionalFormatting>
  <conditionalFormatting sqref="M18">
    <cfRule type="iconSet" priority="8">
      <iconSet>
        <cfvo type="percent" val="0"/>
        <cfvo type="num" val="0"/>
        <cfvo type="num" val="0"/>
      </iconSet>
    </cfRule>
  </conditionalFormatting>
  <conditionalFormatting sqref="M32">
    <cfRule type="iconSet" priority="7">
      <iconSet>
        <cfvo type="percent" val="0"/>
        <cfvo type="num" val="0"/>
        <cfvo type="num" val="0"/>
      </iconSet>
    </cfRule>
  </conditionalFormatting>
  <conditionalFormatting sqref="K17:M18">
    <cfRule type="cellIs" dxfId="193" priority="6" operator="between">
      <formula>1</formula>
      <formula>-1</formula>
    </cfRule>
  </conditionalFormatting>
  <conditionalFormatting sqref="M18">
    <cfRule type="iconSet" priority="5">
      <iconSet>
        <cfvo type="percent" val="0"/>
        <cfvo type="num" val="0"/>
        <cfvo type="num" val="0"/>
      </iconSet>
    </cfRule>
  </conditionalFormatting>
  <conditionalFormatting sqref="H17">
    <cfRule type="iconSet" priority="4">
      <iconSet>
        <cfvo type="percent" val="0"/>
        <cfvo type="num" val="0"/>
        <cfvo type="num" val="0"/>
      </iconSet>
    </cfRule>
  </conditionalFormatting>
  <conditionalFormatting sqref="H18">
    <cfRule type="iconSet" priority="3">
      <iconSet>
        <cfvo type="percent" val="0"/>
        <cfvo type="num" val="0"/>
        <cfvo type="num" val="0"/>
      </iconSet>
    </cfRule>
  </conditionalFormatting>
  <conditionalFormatting sqref="F17:H18">
    <cfRule type="cellIs" dxfId="192" priority="2" operator="between">
      <formula>1</formula>
      <formula>-1</formula>
    </cfRule>
  </conditionalFormatting>
  <conditionalFormatting sqref="H18">
    <cfRule type="iconSet" priority="1">
      <iconSet>
        <cfvo type="percent" val="0"/>
        <cfvo type="num" val="0"/>
        <cfvo type="num" val="0"/>
      </iconSet>
    </cfRule>
  </conditionalFormatting>
  <dataValidations count="4">
    <dataValidation type="list" allowBlank="1" showInputMessage="1" showErrorMessage="1" sqref="E7:G7" xr:uid="{00000000-0002-0000-0000-000000000000}">
      <formula1>Liste1</formula1>
    </dataValidation>
    <dataValidation type="list" allowBlank="1" showInputMessage="1" showErrorMessage="1" sqref="J7:L7" xr:uid="{00000000-0002-0000-0000-000001000000}">
      <formula1>Liste2</formula1>
    </dataValidation>
    <dataValidation type="list" allowBlank="1" showInputMessage="1" showErrorMessage="1" sqref="E21:G21" xr:uid="{00000000-0002-0000-0000-000002000000}">
      <formula1>Liste3</formula1>
    </dataValidation>
    <dataValidation type="list" allowBlank="1" showInputMessage="1" showErrorMessage="1" sqref="J21:L21" xr:uid="{00000000-0002-0000-0000-000003000000}">
      <formula1>Liste4</formula1>
    </dataValidation>
  </dataValidations>
  <hyperlinks>
    <hyperlink ref="B19" r:id="rId1" xr:uid="{0BB83629-AC14-4B73-8D86-9C3F717BB37D}"/>
  </hyperlinks>
  <pageMargins left="0.7" right="0.7" top="0.78740157499999996" bottom="0.78740157499999996" header="0.3" footer="0.3"/>
  <pageSetup paperSize="9" scale="43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5" name="Drehfeld Jahr">
              <controlPr defaultSize="0" print="0" autoPict="0" altText="Year Spinner">
                <anchor moveWithCells="1" sizeWithCells="1">
                  <from>
                    <xdr:col>2</xdr:col>
                    <xdr:colOff>12700</xdr:colOff>
                    <xdr:row>9</xdr:row>
                    <xdr:rowOff>342900</xdr:rowOff>
                  </from>
                  <to>
                    <xdr:col>2</xdr:col>
                    <xdr:colOff>114300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6" name="Drehfeld Monat">
              <controlPr defaultSize="0" print="0" autoPict="0" altText="Month Spinner">
                <anchor moveWithCells="1" sizeWithCells="1">
                  <from>
                    <xdr:col>2</xdr:col>
                    <xdr:colOff>12700</xdr:colOff>
                    <xdr:row>12</xdr:row>
                    <xdr:rowOff>0</xdr:rowOff>
                  </from>
                  <to>
                    <xdr:col>2</xdr:col>
                    <xdr:colOff>114300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Dropdown!$F$1:$F$2</xm:f>
          </x14:formula1>
          <xm:sqref>M7 M21 H21 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F209"/>
  <sheetViews>
    <sheetView showGridLines="0" topLeftCell="A193" zoomScaleNormal="100" workbookViewId="0">
      <selection activeCell="C212" sqref="C212"/>
    </sheetView>
  </sheetViews>
  <sheetFormatPr defaultColWidth="11.453125" defaultRowHeight="14.5" x14ac:dyDescent="0.35"/>
  <cols>
    <col min="1" max="1" width="3.7265625" style="27" customWidth="1"/>
    <col min="2" max="2" width="19.54296875" style="27" customWidth="1"/>
    <col min="3" max="3" width="11.54296875" style="27" customWidth="1"/>
    <col min="4" max="4" width="11.453125" style="27"/>
    <col min="5" max="5" width="2.7265625" style="27" customWidth="1"/>
    <col min="6" max="6" width="18.81640625" style="27" customWidth="1"/>
    <col min="7" max="8" width="11.453125" style="27"/>
    <col min="9" max="9" width="4.7265625" style="27" customWidth="1"/>
    <col min="10" max="10" width="19.54296875" style="27" customWidth="1"/>
    <col min="11" max="12" width="11.453125" style="27"/>
    <col min="13" max="13" width="2.7265625" style="27" customWidth="1"/>
    <col min="14" max="14" width="18.81640625" style="27" customWidth="1"/>
    <col min="15" max="17" width="11.453125" style="27"/>
    <col min="18" max="18" width="19.54296875" style="27" customWidth="1"/>
    <col min="19" max="20" width="11.453125" style="27"/>
    <col min="21" max="21" width="2.7265625" style="27" customWidth="1"/>
    <col min="22" max="22" width="18.81640625" style="27" customWidth="1"/>
    <col min="23" max="23" width="13.7265625" style="27" bestFit="1" customWidth="1"/>
    <col min="24" max="25" width="11.453125" style="27"/>
    <col min="26" max="26" width="19.54296875" style="27" customWidth="1"/>
    <col min="27" max="28" width="11.453125" style="27"/>
    <col min="29" max="29" width="2.7265625" style="27" customWidth="1"/>
    <col min="30" max="30" width="18.81640625" style="27" customWidth="1"/>
    <col min="31" max="16384" width="11.453125" style="27"/>
  </cols>
  <sheetData>
    <row r="1" spans="1:32" s="40" customFormat="1" x14ac:dyDescent="0.35">
      <c r="B1" s="51" t="s">
        <v>16</v>
      </c>
      <c r="C1" s="51"/>
      <c r="D1" s="51"/>
      <c r="E1" s="51"/>
      <c r="F1" s="51"/>
      <c r="G1" s="51"/>
      <c r="H1" s="51"/>
      <c r="J1" s="51" t="s">
        <v>17</v>
      </c>
      <c r="K1" s="51"/>
      <c r="L1" s="51"/>
      <c r="M1" s="51"/>
      <c r="N1" s="51"/>
      <c r="O1" s="51"/>
      <c r="P1" s="51"/>
      <c r="R1" s="51" t="s">
        <v>18</v>
      </c>
      <c r="S1" s="51"/>
      <c r="T1" s="51"/>
      <c r="U1" s="51"/>
      <c r="V1" s="51"/>
      <c r="W1" s="51"/>
      <c r="X1" s="51"/>
      <c r="Z1" s="51" t="s">
        <v>19</v>
      </c>
      <c r="AA1" s="51"/>
      <c r="AB1" s="51"/>
      <c r="AC1" s="51"/>
      <c r="AD1" s="51"/>
      <c r="AE1" s="51"/>
      <c r="AF1" s="51"/>
    </row>
    <row r="2" spans="1:32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  <c r="R2" s="28"/>
      <c r="S2" s="28"/>
      <c r="T2" s="28"/>
      <c r="U2" s="28"/>
      <c r="V2" s="28"/>
      <c r="W2" s="28"/>
      <c r="X2" s="28"/>
      <c r="Z2" s="28"/>
      <c r="AA2" s="28"/>
      <c r="AB2" s="28"/>
      <c r="AC2" s="28"/>
      <c r="AD2" s="28"/>
      <c r="AE2" s="28"/>
      <c r="AF2" s="28"/>
    </row>
    <row r="3" spans="1:32" x14ac:dyDescent="0.35">
      <c r="B3" s="27" t="str">
        <f>Dropdown!C3</f>
        <v>Deposito's</v>
      </c>
      <c r="C3" s="27" t="s">
        <v>0</v>
      </c>
      <c r="F3" s="27" t="str">
        <f>B3</f>
        <v>Deposito's</v>
      </c>
      <c r="G3" s="27" t="s">
        <v>1</v>
      </c>
      <c r="J3" s="27" t="str">
        <f>Dropdown!C8</f>
        <v>Bezoeker</v>
      </c>
      <c r="K3" s="27" t="s">
        <v>0</v>
      </c>
      <c r="N3" s="27" t="str">
        <f>J3</f>
        <v>Bezoeker</v>
      </c>
      <c r="O3" s="27" t="s">
        <v>1</v>
      </c>
      <c r="R3" s="27" t="str">
        <f>Dropdown!C13</f>
        <v>Blog berichten</v>
      </c>
      <c r="S3" s="27" t="s">
        <v>0</v>
      </c>
      <c r="V3" s="27" t="str">
        <f>R3</f>
        <v>Blog berichten</v>
      </c>
      <c r="W3" s="27" t="s">
        <v>1</v>
      </c>
      <c r="Z3" s="27" t="str">
        <f>Dropdown!C16</f>
        <v>Werktijd</v>
      </c>
      <c r="AA3" s="27" t="s">
        <v>0</v>
      </c>
      <c r="AD3" s="27" t="str">
        <f>Z3</f>
        <v>Werktijd</v>
      </c>
      <c r="AE3" s="27" t="s">
        <v>1</v>
      </c>
    </row>
    <row r="4" spans="1:32" x14ac:dyDescent="0.35">
      <c r="B4" s="27" t="s">
        <v>35</v>
      </c>
      <c r="C4" s="27" t="s">
        <v>33</v>
      </c>
      <c r="D4" s="27" t="s">
        <v>34</v>
      </c>
      <c r="F4" s="27" t="s">
        <v>35</v>
      </c>
      <c r="G4" s="27" t="s">
        <v>33</v>
      </c>
      <c r="H4" s="27" t="s">
        <v>34</v>
      </c>
      <c r="J4" s="27" t="s">
        <v>35</v>
      </c>
      <c r="K4" s="27" t="s">
        <v>33</v>
      </c>
      <c r="L4" s="27" t="s">
        <v>34</v>
      </c>
      <c r="N4" s="27" t="s">
        <v>35</v>
      </c>
      <c r="O4" s="27" t="s">
        <v>33</v>
      </c>
      <c r="P4" s="27" t="s">
        <v>34</v>
      </c>
      <c r="R4" s="27" t="s">
        <v>35</v>
      </c>
      <c r="S4" s="27" t="s">
        <v>33</v>
      </c>
      <c r="T4" s="27" t="s">
        <v>34</v>
      </c>
      <c r="V4" s="27" t="s">
        <v>35</v>
      </c>
      <c r="W4" s="27" t="s">
        <v>33</v>
      </c>
      <c r="X4" s="27" t="s">
        <v>34</v>
      </c>
      <c r="Z4" s="27" t="s">
        <v>35</v>
      </c>
      <c r="AA4" s="27" t="s">
        <v>33</v>
      </c>
      <c r="AB4" s="27" t="s">
        <v>34</v>
      </c>
      <c r="AD4" s="27" t="s">
        <v>35</v>
      </c>
      <c r="AE4" s="27" t="s">
        <v>33</v>
      </c>
      <c r="AF4" s="27" t="s">
        <v>34</v>
      </c>
    </row>
    <row r="5" spans="1:32" ht="14.5" customHeight="1" x14ac:dyDescent="0.35">
      <c r="B5" s="46">
        <v>43831</v>
      </c>
      <c r="C5" s="47">
        <v>200</v>
      </c>
      <c r="D5" s="47">
        <v>180</v>
      </c>
      <c r="F5" s="46">
        <v>43831</v>
      </c>
      <c r="G5" s="47">
        <f>Tabelle5[[#This Row],[Realisatie]]</f>
        <v>200</v>
      </c>
      <c r="H5" s="47">
        <f>Tabelle5[[#This Row],[Doel]]</f>
        <v>180</v>
      </c>
      <c r="J5" s="46">
        <v>43831</v>
      </c>
      <c r="K5" s="27">
        <v>5000</v>
      </c>
      <c r="L5" s="27">
        <v>4500</v>
      </c>
      <c r="N5" s="46">
        <v>43831</v>
      </c>
      <c r="O5" s="27">
        <f>Tabelle517[[#This Row],[Realisatie]]</f>
        <v>5000</v>
      </c>
      <c r="P5" s="27">
        <f>Tabelle517[[#This Row],[Doel]]</f>
        <v>4500</v>
      </c>
      <c r="R5" s="46">
        <v>43831</v>
      </c>
      <c r="S5" s="27">
        <v>5</v>
      </c>
      <c r="T5" s="27">
        <v>4</v>
      </c>
      <c r="V5" s="46">
        <v>43831</v>
      </c>
      <c r="W5" s="27">
        <f>Tabelle528[[#This Row],[Realisatie]]</f>
        <v>5</v>
      </c>
      <c r="X5" s="27">
        <f>Tabelle528[[#This Row],[Doel]]</f>
        <v>4</v>
      </c>
      <c r="Z5" s="46">
        <v>43831</v>
      </c>
      <c r="AA5" s="27">
        <v>20</v>
      </c>
      <c r="AB5" s="27">
        <v>20</v>
      </c>
      <c r="AD5" s="46">
        <v>43831</v>
      </c>
      <c r="AE5" s="27">
        <f>Tabelle52839[[#This Row],[Realisatie]]</f>
        <v>20</v>
      </c>
      <c r="AF5" s="27">
        <f>Tabelle52839[[#This Row],[Doel]]</f>
        <v>20</v>
      </c>
    </row>
    <row r="6" spans="1:32" ht="14.5" customHeight="1" x14ac:dyDescent="0.35">
      <c r="B6" s="46">
        <v>43862</v>
      </c>
      <c r="C6" s="47">
        <v>240</v>
      </c>
      <c r="D6" s="47">
        <v>200</v>
      </c>
      <c r="F6" s="46">
        <v>43862</v>
      </c>
      <c r="G6" s="47">
        <f>Tabelle5[[#This Row],[Realisatie]]+G5</f>
        <v>440</v>
      </c>
      <c r="H6" s="47">
        <f>Tabelle5[[#This Row],[Doel]]+H5</f>
        <v>380</v>
      </c>
      <c r="J6" s="46">
        <v>43862</v>
      </c>
      <c r="K6" s="27">
        <v>7000</v>
      </c>
      <c r="L6" s="27">
        <v>5500</v>
      </c>
      <c r="N6" s="46">
        <v>43862</v>
      </c>
      <c r="O6" s="27">
        <f>Tabelle517[[#This Row],[Realisatie]]+O5</f>
        <v>12000</v>
      </c>
      <c r="P6" s="27">
        <f>Tabelle517[[#This Row],[Doel]]+P5</f>
        <v>10000</v>
      </c>
      <c r="R6" s="46">
        <v>43862</v>
      </c>
      <c r="S6" s="27">
        <v>4</v>
      </c>
      <c r="T6" s="27">
        <v>4</v>
      </c>
      <c r="V6" s="46">
        <v>43862</v>
      </c>
      <c r="W6" s="27">
        <f>Tabelle528[[#This Row],[Realisatie]]+W5</f>
        <v>9</v>
      </c>
      <c r="X6" s="27">
        <f>Tabelle528[[#This Row],[Doel]]+X5</f>
        <v>8</v>
      </c>
      <c r="Z6" s="46">
        <v>43862</v>
      </c>
      <c r="AA6" s="27">
        <v>35</v>
      </c>
      <c r="AB6" s="27">
        <v>20</v>
      </c>
      <c r="AD6" s="46">
        <v>43862</v>
      </c>
      <c r="AE6" s="27">
        <f>Tabelle52839[[#This Row],[Realisatie]]+AE5</f>
        <v>55</v>
      </c>
      <c r="AF6" s="27">
        <f>Tabelle52839[[#This Row],[Doel]]+AF5</f>
        <v>40</v>
      </c>
    </row>
    <row r="7" spans="1:32" ht="14.5" customHeight="1" x14ac:dyDescent="0.35">
      <c r="B7" s="46">
        <v>43891</v>
      </c>
      <c r="C7" s="47">
        <v>120</v>
      </c>
      <c r="D7" s="47">
        <v>200</v>
      </c>
      <c r="F7" s="46">
        <v>43891</v>
      </c>
      <c r="G7" s="47">
        <f>Tabelle5[[#This Row],[Realisatie]]+G6</f>
        <v>560</v>
      </c>
      <c r="H7" s="47">
        <f>Tabelle5[[#This Row],[Doel]]+H6</f>
        <v>580</v>
      </c>
      <c r="J7" s="46">
        <v>43891</v>
      </c>
      <c r="K7" s="27">
        <v>2500</v>
      </c>
      <c r="L7" s="27">
        <v>6000</v>
      </c>
      <c r="N7" s="46">
        <v>43891</v>
      </c>
      <c r="O7" s="27">
        <f>Tabelle517[[#This Row],[Realisatie]]+O6</f>
        <v>14500</v>
      </c>
      <c r="P7" s="27">
        <f>Tabelle517[[#This Row],[Doel]]+P6</f>
        <v>16000</v>
      </c>
      <c r="R7" s="46">
        <v>43891</v>
      </c>
      <c r="S7" s="27">
        <v>4</v>
      </c>
      <c r="T7" s="27">
        <v>4</v>
      </c>
      <c r="V7" s="46">
        <v>43891</v>
      </c>
      <c r="W7" s="27">
        <f>Tabelle528[[#This Row],[Realisatie]]+W6</f>
        <v>13</v>
      </c>
      <c r="X7" s="27">
        <f>Tabelle528[[#This Row],[Doel]]+X6</f>
        <v>12</v>
      </c>
      <c r="Z7" s="46">
        <v>43891</v>
      </c>
      <c r="AA7" s="27">
        <v>40</v>
      </c>
      <c r="AB7" s="27">
        <v>20</v>
      </c>
      <c r="AD7" s="46">
        <v>43891</v>
      </c>
      <c r="AE7" s="27">
        <f>Tabelle52839[[#This Row],[Realisatie]]+AE6</f>
        <v>95</v>
      </c>
      <c r="AF7" s="27">
        <f>Tabelle52839[[#This Row],[Doel]]+AF6</f>
        <v>60</v>
      </c>
    </row>
    <row r="8" spans="1:32" x14ac:dyDescent="0.35">
      <c r="B8" s="46">
        <v>43922</v>
      </c>
      <c r="C8" s="47">
        <v>220</v>
      </c>
      <c r="D8" s="47">
        <v>200</v>
      </c>
      <c r="F8" s="46">
        <v>43922</v>
      </c>
      <c r="G8" s="47">
        <f>Tabelle5[[#This Row],[Realisatie]]+G7</f>
        <v>780</v>
      </c>
      <c r="H8" s="47">
        <f>Tabelle5[[#This Row],[Doel]]+H7</f>
        <v>780</v>
      </c>
      <c r="J8" s="46">
        <v>43922</v>
      </c>
      <c r="K8" s="27">
        <v>2000</v>
      </c>
      <c r="L8" s="27">
        <v>6500</v>
      </c>
      <c r="N8" s="46">
        <v>43922</v>
      </c>
      <c r="O8" s="27">
        <f>Tabelle517[[#This Row],[Realisatie]]+O7</f>
        <v>16500</v>
      </c>
      <c r="P8" s="27">
        <f>Tabelle517[[#This Row],[Doel]]+P7</f>
        <v>22500</v>
      </c>
      <c r="R8" s="46">
        <v>43922</v>
      </c>
      <c r="S8" s="27">
        <v>3</v>
      </c>
      <c r="T8" s="27">
        <v>4</v>
      </c>
      <c r="V8" s="46">
        <v>43922</v>
      </c>
      <c r="W8" s="27">
        <f>Tabelle528[[#This Row],[Realisatie]]+W7</f>
        <v>16</v>
      </c>
      <c r="X8" s="27">
        <f>Tabelle528[[#This Row],[Doel]]+X7</f>
        <v>16</v>
      </c>
      <c r="Z8" s="46">
        <v>43922</v>
      </c>
      <c r="AA8" s="27">
        <v>15</v>
      </c>
      <c r="AB8" s="27">
        <v>20</v>
      </c>
      <c r="AD8" s="46">
        <v>43922</v>
      </c>
      <c r="AE8" s="27">
        <f>Tabelle52839[[#This Row],[Realisatie]]+AE7</f>
        <v>110</v>
      </c>
      <c r="AF8" s="27">
        <f>Tabelle52839[[#This Row],[Doel]]+AF7</f>
        <v>80</v>
      </c>
    </row>
    <row r="9" spans="1:32" x14ac:dyDescent="0.35">
      <c r="B9" s="46">
        <v>43952</v>
      </c>
      <c r="C9" s="47">
        <v>310</v>
      </c>
      <c r="D9" s="47">
        <v>240</v>
      </c>
      <c r="F9" s="46">
        <v>43952</v>
      </c>
      <c r="G9" s="47">
        <f>Tabelle5[[#This Row],[Realisatie]]+G8</f>
        <v>1090</v>
      </c>
      <c r="H9" s="47">
        <f>Tabelle5[[#This Row],[Doel]]+H8</f>
        <v>1020</v>
      </c>
      <c r="J9" s="46">
        <v>43952</v>
      </c>
      <c r="K9" s="27">
        <v>2700</v>
      </c>
      <c r="L9" s="27">
        <v>7000</v>
      </c>
      <c r="N9" s="46">
        <v>43952</v>
      </c>
      <c r="O9" s="27">
        <f>Tabelle517[[#This Row],[Realisatie]]+O8</f>
        <v>19200</v>
      </c>
      <c r="P9" s="27">
        <f>Tabelle517[[#This Row],[Doel]]+P8</f>
        <v>29500</v>
      </c>
      <c r="R9" s="46">
        <v>43952</v>
      </c>
      <c r="S9" s="27">
        <v>2</v>
      </c>
      <c r="T9" s="27">
        <v>4</v>
      </c>
      <c r="V9" s="46">
        <v>43952</v>
      </c>
      <c r="W9" s="27">
        <f>Tabelle528[[#This Row],[Realisatie]]+W8</f>
        <v>18</v>
      </c>
      <c r="X9" s="27">
        <f>Tabelle528[[#This Row],[Doel]]+X8</f>
        <v>20</v>
      </c>
      <c r="Z9" s="46">
        <v>43952</v>
      </c>
      <c r="AA9" s="27">
        <v>10</v>
      </c>
      <c r="AB9" s="27">
        <v>20</v>
      </c>
      <c r="AD9" s="46">
        <v>43952</v>
      </c>
      <c r="AE9" s="27">
        <f>Tabelle52839[[#This Row],[Realisatie]]+AE8</f>
        <v>120</v>
      </c>
      <c r="AF9" s="27">
        <f>Tabelle52839[[#This Row],[Doel]]+AF8</f>
        <v>100</v>
      </c>
    </row>
    <row r="10" spans="1:32" x14ac:dyDescent="0.35">
      <c r="B10" s="46">
        <v>43983</v>
      </c>
      <c r="C10" s="47">
        <v>120</v>
      </c>
      <c r="D10" s="47">
        <v>260</v>
      </c>
      <c r="F10" s="46">
        <v>43983</v>
      </c>
      <c r="G10" s="47">
        <f>Tabelle5[[#This Row],[Realisatie]]+G9</f>
        <v>1210</v>
      </c>
      <c r="H10" s="47">
        <f>Tabelle5[[#This Row],[Doel]]+H9</f>
        <v>1280</v>
      </c>
      <c r="J10" s="46">
        <v>43983</v>
      </c>
      <c r="K10" s="27">
        <v>6000</v>
      </c>
      <c r="L10" s="27">
        <v>7500</v>
      </c>
      <c r="N10" s="46">
        <v>43983</v>
      </c>
      <c r="O10" s="27">
        <f>Tabelle517[[#This Row],[Realisatie]]+O9</f>
        <v>25200</v>
      </c>
      <c r="P10" s="27">
        <f>Tabelle517[[#This Row],[Doel]]+P9</f>
        <v>37000</v>
      </c>
      <c r="R10" s="46">
        <v>43983</v>
      </c>
      <c r="S10" s="27">
        <v>1</v>
      </c>
      <c r="T10" s="27">
        <v>4</v>
      </c>
      <c r="V10" s="46">
        <v>43983</v>
      </c>
      <c r="W10" s="27">
        <f>Tabelle528[[#This Row],[Realisatie]]+W9</f>
        <v>19</v>
      </c>
      <c r="X10" s="27">
        <f>Tabelle528[[#This Row],[Doel]]+X9</f>
        <v>24</v>
      </c>
      <c r="Z10" s="46">
        <v>43983</v>
      </c>
      <c r="AA10" s="27">
        <v>5</v>
      </c>
      <c r="AB10" s="27">
        <v>20</v>
      </c>
      <c r="AD10" s="46">
        <v>43983</v>
      </c>
      <c r="AE10" s="27">
        <f>Tabelle52839[[#This Row],[Realisatie]]+AE9</f>
        <v>125</v>
      </c>
      <c r="AF10" s="27">
        <f>Tabelle52839[[#This Row],[Doel]]+AF9</f>
        <v>120</v>
      </c>
    </row>
    <row r="11" spans="1:32" x14ac:dyDescent="0.35">
      <c r="B11" s="46">
        <v>44013</v>
      </c>
      <c r="C11" s="47">
        <v>90</v>
      </c>
      <c r="D11" s="47">
        <v>280</v>
      </c>
      <c r="F11" s="46">
        <v>44013</v>
      </c>
      <c r="G11" s="47">
        <f>Tabelle5[[#This Row],[Realisatie]]+G10</f>
        <v>1300</v>
      </c>
      <c r="H11" s="47">
        <f>Tabelle5[[#This Row],[Doel]]+H10</f>
        <v>1560</v>
      </c>
      <c r="J11" s="46">
        <v>44013</v>
      </c>
      <c r="K11" s="27">
        <v>8000</v>
      </c>
      <c r="L11" s="27">
        <v>8000</v>
      </c>
      <c r="N11" s="46">
        <v>44013</v>
      </c>
      <c r="O11" s="27">
        <f>Tabelle517[[#This Row],[Realisatie]]+O10</f>
        <v>33200</v>
      </c>
      <c r="P11" s="27">
        <f>Tabelle517[[#This Row],[Doel]]+P10</f>
        <v>45000</v>
      </c>
      <c r="R11" s="46">
        <v>44013</v>
      </c>
      <c r="S11" s="27">
        <v>1</v>
      </c>
      <c r="T11" s="27">
        <v>4</v>
      </c>
      <c r="V11" s="46">
        <v>44013</v>
      </c>
      <c r="W11" s="27">
        <f>Tabelle528[[#This Row],[Realisatie]]+W10</f>
        <v>20</v>
      </c>
      <c r="X11" s="27">
        <f>Tabelle528[[#This Row],[Doel]]+X10</f>
        <v>28</v>
      </c>
      <c r="Z11" s="46">
        <v>44013</v>
      </c>
      <c r="AA11" s="27">
        <v>10</v>
      </c>
      <c r="AB11" s="27">
        <v>20</v>
      </c>
      <c r="AD11" s="46">
        <v>44013</v>
      </c>
      <c r="AE11" s="27">
        <f>Tabelle52839[[#This Row],[Realisatie]]+AE10</f>
        <v>135</v>
      </c>
      <c r="AF11" s="27">
        <f>Tabelle52839[[#This Row],[Doel]]+AF10</f>
        <v>140</v>
      </c>
    </row>
    <row r="12" spans="1:32" x14ac:dyDescent="0.35">
      <c r="B12" s="46">
        <v>44044</v>
      </c>
      <c r="C12" s="47">
        <v>80</v>
      </c>
      <c r="D12" s="47">
        <v>280</v>
      </c>
      <c r="F12" s="46">
        <v>44044</v>
      </c>
      <c r="G12" s="47">
        <f>Tabelle5[[#This Row],[Realisatie]]+G11</f>
        <v>1380</v>
      </c>
      <c r="H12" s="47">
        <f>Tabelle5[[#This Row],[Doel]]+H11</f>
        <v>1840</v>
      </c>
      <c r="J12" s="46">
        <v>44044</v>
      </c>
      <c r="K12" s="27">
        <v>9000</v>
      </c>
      <c r="L12" s="27">
        <v>8500</v>
      </c>
      <c r="N12" s="46">
        <v>44044</v>
      </c>
      <c r="O12" s="27">
        <f>Tabelle517[[#This Row],[Realisatie]]+O11</f>
        <v>42200</v>
      </c>
      <c r="P12" s="27">
        <f>Tabelle517[[#This Row],[Doel]]+P11</f>
        <v>53500</v>
      </c>
      <c r="R12" s="46">
        <v>44044</v>
      </c>
      <c r="S12" s="27">
        <v>1</v>
      </c>
      <c r="T12" s="27">
        <v>4</v>
      </c>
      <c r="V12" s="46">
        <v>44044</v>
      </c>
      <c r="W12" s="27">
        <f>Tabelle528[[#This Row],[Realisatie]]+W11</f>
        <v>21</v>
      </c>
      <c r="X12" s="27">
        <f>Tabelle528[[#This Row],[Doel]]+X11</f>
        <v>32</v>
      </c>
      <c r="Z12" s="46">
        <v>44044</v>
      </c>
      <c r="AA12" s="27">
        <v>10</v>
      </c>
      <c r="AB12" s="27">
        <v>20</v>
      </c>
      <c r="AD12" s="46">
        <v>44044</v>
      </c>
      <c r="AE12" s="27">
        <f>Tabelle52839[[#This Row],[Realisatie]]+AE11</f>
        <v>145</v>
      </c>
      <c r="AF12" s="27">
        <f>Tabelle52839[[#This Row],[Doel]]+AF11</f>
        <v>160</v>
      </c>
    </row>
    <row r="13" spans="1:32" x14ac:dyDescent="0.35">
      <c r="B13" s="46">
        <v>44075</v>
      </c>
      <c r="C13" s="47">
        <v>430</v>
      </c>
      <c r="D13" s="47">
        <v>280</v>
      </c>
      <c r="F13" s="46">
        <v>44075</v>
      </c>
      <c r="G13" s="47">
        <f>Tabelle5[[#This Row],[Realisatie]]+G12</f>
        <v>1810</v>
      </c>
      <c r="H13" s="47">
        <f>Tabelle5[[#This Row],[Doel]]+H12</f>
        <v>2120</v>
      </c>
      <c r="J13" s="46">
        <v>44075</v>
      </c>
      <c r="K13" s="27">
        <v>8200</v>
      </c>
      <c r="L13" s="27">
        <v>9000</v>
      </c>
      <c r="N13" s="46">
        <v>44075</v>
      </c>
      <c r="O13" s="27">
        <f>Tabelle517[[#This Row],[Realisatie]]+O12</f>
        <v>50400</v>
      </c>
      <c r="P13" s="27">
        <f>Tabelle517[[#This Row],[Doel]]+P12</f>
        <v>62500</v>
      </c>
      <c r="R13" s="46">
        <v>44075</v>
      </c>
      <c r="S13" s="27">
        <v>5</v>
      </c>
      <c r="T13" s="27">
        <v>4</v>
      </c>
      <c r="V13" s="46">
        <v>44075</v>
      </c>
      <c r="W13" s="27">
        <f>Tabelle528[[#This Row],[Realisatie]]+W12</f>
        <v>26</v>
      </c>
      <c r="X13" s="27">
        <f>Tabelle528[[#This Row],[Doel]]+X12</f>
        <v>36</v>
      </c>
      <c r="Z13" s="46">
        <v>44075</v>
      </c>
      <c r="AA13" s="27">
        <v>40</v>
      </c>
      <c r="AB13" s="27">
        <v>20</v>
      </c>
      <c r="AD13" s="46">
        <v>44075</v>
      </c>
      <c r="AE13" s="27">
        <f>Tabelle52839[[#This Row],[Realisatie]]+AE12</f>
        <v>185</v>
      </c>
      <c r="AF13" s="27">
        <f>Tabelle52839[[#This Row],[Doel]]+AF12</f>
        <v>180</v>
      </c>
    </row>
    <row r="14" spans="1:32" x14ac:dyDescent="0.35">
      <c r="B14" s="46">
        <v>44105</v>
      </c>
      <c r="C14" s="47">
        <v>210</v>
      </c>
      <c r="D14" s="47">
        <v>300</v>
      </c>
      <c r="F14" s="46">
        <v>44105</v>
      </c>
      <c r="G14" s="47">
        <f>Tabelle5[[#This Row],[Realisatie]]+G13</f>
        <v>2020</v>
      </c>
      <c r="H14" s="47">
        <f>Tabelle5[[#This Row],[Doel]]+H13</f>
        <v>2420</v>
      </c>
      <c r="J14" s="46">
        <v>44105</v>
      </c>
      <c r="K14" s="27">
        <v>6700</v>
      </c>
      <c r="L14" s="27">
        <v>9500</v>
      </c>
      <c r="N14" s="46">
        <v>44105</v>
      </c>
      <c r="O14" s="27">
        <f>Tabelle517[[#This Row],[Realisatie]]+O13</f>
        <v>57100</v>
      </c>
      <c r="P14" s="27">
        <f>Tabelle517[[#This Row],[Doel]]+P13</f>
        <v>72000</v>
      </c>
      <c r="R14" s="46">
        <v>44105</v>
      </c>
      <c r="S14" s="27">
        <v>6</v>
      </c>
      <c r="T14" s="27">
        <v>4</v>
      </c>
      <c r="V14" s="46">
        <v>44105</v>
      </c>
      <c r="W14" s="27">
        <f>Tabelle528[[#This Row],[Realisatie]]+W13</f>
        <v>32</v>
      </c>
      <c r="X14" s="27">
        <f>Tabelle528[[#This Row],[Doel]]+X13</f>
        <v>40</v>
      </c>
      <c r="Z14" s="46">
        <v>44105</v>
      </c>
      <c r="AA14" s="27">
        <v>50</v>
      </c>
      <c r="AB14" s="27">
        <v>20</v>
      </c>
      <c r="AD14" s="46">
        <v>44105</v>
      </c>
      <c r="AE14" s="27">
        <f>Tabelle52839[[#This Row],[Realisatie]]+AE13</f>
        <v>235</v>
      </c>
      <c r="AF14" s="27">
        <f>Tabelle52839[[#This Row],[Doel]]+AF13</f>
        <v>200</v>
      </c>
    </row>
    <row r="15" spans="1:32" x14ac:dyDescent="0.35">
      <c r="B15" s="46">
        <v>44136</v>
      </c>
      <c r="C15" s="47">
        <v>450</v>
      </c>
      <c r="D15" s="47">
        <v>380</v>
      </c>
      <c r="F15" s="46">
        <v>44136</v>
      </c>
      <c r="G15" s="47">
        <f>Tabelle5[[#This Row],[Realisatie]]+G14</f>
        <v>2470</v>
      </c>
      <c r="H15" s="47">
        <f>Tabelle5[[#This Row],[Doel]]+H14</f>
        <v>2800</v>
      </c>
      <c r="J15" s="46">
        <v>44136</v>
      </c>
      <c r="K15" s="27">
        <v>9000</v>
      </c>
      <c r="L15" s="27">
        <v>10000</v>
      </c>
      <c r="N15" s="46">
        <v>44136</v>
      </c>
      <c r="O15" s="27">
        <f>Tabelle517[[#This Row],[Realisatie]]+O14</f>
        <v>66100</v>
      </c>
      <c r="P15" s="27">
        <f>Tabelle517[[#This Row],[Doel]]+P14</f>
        <v>82000</v>
      </c>
      <c r="R15" s="46">
        <v>44136</v>
      </c>
      <c r="S15" s="27">
        <v>7</v>
      </c>
      <c r="T15" s="27">
        <v>4</v>
      </c>
      <c r="V15" s="46">
        <v>44136</v>
      </c>
      <c r="W15" s="27">
        <f>Tabelle528[[#This Row],[Realisatie]]+W14</f>
        <v>39</v>
      </c>
      <c r="X15" s="27">
        <f>Tabelle528[[#This Row],[Doel]]+X14</f>
        <v>44</v>
      </c>
      <c r="Z15" s="46">
        <v>44136</v>
      </c>
      <c r="AA15" s="27">
        <v>35</v>
      </c>
      <c r="AB15" s="27">
        <v>20</v>
      </c>
      <c r="AD15" s="46">
        <v>44136</v>
      </c>
      <c r="AE15" s="27">
        <f>Tabelle52839[[#This Row],[Realisatie]]+AE14</f>
        <v>270</v>
      </c>
      <c r="AF15" s="27">
        <f>Tabelle52839[[#This Row],[Doel]]+AF14</f>
        <v>220</v>
      </c>
    </row>
    <row r="16" spans="1:32" x14ac:dyDescent="0.35">
      <c r="B16" s="46">
        <v>44166</v>
      </c>
      <c r="C16" s="47">
        <v>600</v>
      </c>
      <c r="D16" s="47">
        <v>500</v>
      </c>
      <c r="F16" s="46">
        <v>44166</v>
      </c>
      <c r="G16" s="47">
        <f>Tabelle5[[#This Row],[Realisatie]]+G15</f>
        <v>3070</v>
      </c>
      <c r="H16" s="47">
        <f>Tabelle5[[#This Row],[Doel]]+H15</f>
        <v>3300</v>
      </c>
      <c r="J16" s="46">
        <v>44166</v>
      </c>
      <c r="K16" s="27">
        <v>7800</v>
      </c>
      <c r="L16" s="27">
        <v>10500</v>
      </c>
      <c r="N16" s="46">
        <v>44166</v>
      </c>
      <c r="O16" s="47">
        <f>Tabelle517[[#This Row],[Realisatie]]+O15</f>
        <v>73900</v>
      </c>
      <c r="P16" s="47">
        <f>Tabelle517[[#This Row],[Doel]]+P15</f>
        <v>92500</v>
      </c>
      <c r="R16" s="46">
        <v>44166</v>
      </c>
      <c r="S16" s="27">
        <v>8</v>
      </c>
      <c r="T16" s="27">
        <v>4</v>
      </c>
      <c r="V16" s="46">
        <v>44166</v>
      </c>
      <c r="W16" s="27">
        <f>Tabelle528[[#This Row],[Realisatie]]+W15</f>
        <v>47</v>
      </c>
      <c r="X16" s="27">
        <f>Tabelle528[[#This Row],[Doel]]+X15</f>
        <v>48</v>
      </c>
      <c r="Z16" s="46">
        <v>44166</v>
      </c>
      <c r="AA16" s="27">
        <v>30</v>
      </c>
      <c r="AB16" s="27">
        <v>20</v>
      </c>
      <c r="AD16" s="46">
        <v>44166</v>
      </c>
      <c r="AE16" s="27">
        <f>Tabelle52839[[#This Row],[Realisatie]]+AE15</f>
        <v>300</v>
      </c>
      <c r="AF16" s="27">
        <f>Tabelle52839[[#This Row],[Doel]]+AF15</f>
        <v>240</v>
      </c>
    </row>
    <row r="17" spans="2:32" x14ac:dyDescent="0.35">
      <c r="B17" s="46">
        <v>44197</v>
      </c>
      <c r="C17" s="47">
        <f>C16*1.1</f>
        <v>660</v>
      </c>
      <c r="D17" s="47">
        <v>550</v>
      </c>
      <c r="F17" s="46">
        <v>44197</v>
      </c>
      <c r="G17" s="47">
        <f>Tabelle5[[#This Row],[Realisatie]]+G16</f>
        <v>3730</v>
      </c>
      <c r="H17" s="47">
        <f>Tabelle5[[#This Row],[Doel]]+H16</f>
        <v>3850</v>
      </c>
      <c r="J17" s="46">
        <v>44197</v>
      </c>
      <c r="K17" s="47">
        <f>K16*1.1</f>
        <v>8580</v>
      </c>
      <c r="L17" s="47">
        <f>L16*1.1</f>
        <v>11550.000000000002</v>
      </c>
      <c r="N17" s="46">
        <v>44197</v>
      </c>
      <c r="O17" s="47">
        <f>Tabelle517[[#This Row],[Realisatie]]+O16</f>
        <v>82480</v>
      </c>
      <c r="P17" s="47">
        <f>Tabelle517[[#This Row],[Doel]]+P16</f>
        <v>104050</v>
      </c>
      <c r="R17" s="46">
        <v>44197</v>
      </c>
      <c r="S17" s="27">
        <v>3</v>
      </c>
      <c r="T17" s="27">
        <v>5</v>
      </c>
      <c r="V17" s="46">
        <v>44197</v>
      </c>
      <c r="W17" s="27">
        <f>Tabelle528[[#This Row],[Realisatie]]+W16</f>
        <v>50</v>
      </c>
      <c r="X17" s="27">
        <f>Tabelle528[[#This Row],[Doel]]+X16</f>
        <v>53</v>
      </c>
      <c r="Z17" s="46">
        <v>44197</v>
      </c>
      <c r="AA17" s="27">
        <v>25</v>
      </c>
      <c r="AB17" s="27">
        <v>20</v>
      </c>
      <c r="AD17" s="46">
        <v>44197</v>
      </c>
      <c r="AE17" s="27">
        <f>Tabelle52839[[#This Row],[Realisatie]]+AE16</f>
        <v>325</v>
      </c>
      <c r="AF17" s="27">
        <f>Tabelle52839[[#This Row],[Doel]]+AF16</f>
        <v>260</v>
      </c>
    </row>
    <row r="18" spans="2:32" x14ac:dyDescent="0.35">
      <c r="B18" s="46">
        <v>44228</v>
      </c>
      <c r="C18" s="47">
        <f t="shared" ref="C18:C23" si="0">C17*1.1</f>
        <v>726.00000000000011</v>
      </c>
      <c r="D18" s="47">
        <v>605</v>
      </c>
      <c r="F18" s="46">
        <v>44228</v>
      </c>
      <c r="G18" s="47">
        <f>Tabelle5[[#This Row],[Realisatie]]+G17</f>
        <v>4456</v>
      </c>
      <c r="H18" s="47">
        <f>Tabelle5[[#This Row],[Doel]]+H17</f>
        <v>4455</v>
      </c>
      <c r="J18" s="46">
        <v>44228</v>
      </c>
      <c r="K18" s="47">
        <f t="shared" ref="K18:K23" si="1">K17*1.1</f>
        <v>9438</v>
      </c>
      <c r="L18" s="47">
        <f t="shared" ref="L18:L35" si="2">L17*1.1</f>
        <v>12705.000000000004</v>
      </c>
      <c r="N18" s="46">
        <v>44228</v>
      </c>
      <c r="O18" s="47">
        <f>Tabelle517[[#This Row],[Realisatie]]+O17</f>
        <v>91918</v>
      </c>
      <c r="P18" s="47">
        <f>Tabelle517[[#This Row],[Doel]]+P17</f>
        <v>116755</v>
      </c>
      <c r="R18" s="46">
        <v>44228</v>
      </c>
      <c r="S18" s="27">
        <v>2</v>
      </c>
      <c r="T18" s="27">
        <v>5</v>
      </c>
      <c r="V18" s="46">
        <v>44228</v>
      </c>
      <c r="W18" s="27">
        <f>Tabelle528[[#This Row],[Realisatie]]+W17</f>
        <v>52</v>
      </c>
      <c r="X18" s="27">
        <f>Tabelle528[[#This Row],[Doel]]+X17</f>
        <v>58</v>
      </c>
      <c r="Z18" s="46">
        <v>44228</v>
      </c>
      <c r="AA18" s="27">
        <v>25</v>
      </c>
      <c r="AB18" s="27">
        <v>20</v>
      </c>
      <c r="AD18" s="46">
        <v>44228</v>
      </c>
      <c r="AE18" s="27">
        <f>Tabelle52839[[#This Row],[Realisatie]]+AE17</f>
        <v>350</v>
      </c>
      <c r="AF18" s="27">
        <f>Tabelle52839[[#This Row],[Doel]]+AF17</f>
        <v>280</v>
      </c>
    </row>
    <row r="19" spans="2:32" x14ac:dyDescent="0.35">
      <c r="B19" s="46">
        <v>44256</v>
      </c>
      <c r="C19" s="47">
        <f t="shared" si="0"/>
        <v>798.60000000000014</v>
      </c>
      <c r="D19" s="47">
        <v>665.5</v>
      </c>
      <c r="F19" s="46">
        <v>44256</v>
      </c>
      <c r="G19" s="47">
        <f>Tabelle5[[#This Row],[Realisatie]]+G18</f>
        <v>5254.6</v>
      </c>
      <c r="H19" s="47">
        <f>Tabelle5[[#This Row],[Doel]]+H18</f>
        <v>5120.5</v>
      </c>
      <c r="J19" s="46">
        <v>44256</v>
      </c>
      <c r="K19" s="47">
        <f t="shared" si="1"/>
        <v>10381.800000000001</v>
      </c>
      <c r="L19" s="47">
        <f t="shared" si="2"/>
        <v>13975.500000000005</v>
      </c>
      <c r="N19" s="46">
        <v>44256</v>
      </c>
      <c r="O19" s="47">
        <f>Tabelle517[[#This Row],[Realisatie]]+O18</f>
        <v>102299.8</v>
      </c>
      <c r="P19" s="47">
        <f>Tabelle517[[#This Row],[Doel]]+P18</f>
        <v>130730.5</v>
      </c>
      <c r="R19" s="46">
        <v>44256</v>
      </c>
      <c r="S19" s="27">
        <v>4</v>
      </c>
      <c r="T19" s="27">
        <v>5</v>
      </c>
      <c r="V19" s="46">
        <v>44256</v>
      </c>
      <c r="W19" s="27">
        <f>Tabelle528[[#This Row],[Realisatie]]+W18</f>
        <v>56</v>
      </c>
      <c r="X19" s="27">
        <f>Tabelle528[[#This Row],[Doel]]+X18</f>
        <v>63</v>
      </c>
      <c r="Z19" s="46">
        <v>44256</v>
      </c>
      <c r="AA19" s="27">
        <v>25</v>
      </c>
      <c r="AB19" s="27">
        <v>20</v>
      </c>
      <c r="AD19" s="46">
        <v>44256</v>
      </c>
      <c r="AE19" s="27">
        <f>Tabelle52839[[#This Row],[Realisatie]]+AE18</f>
        <v>375</v>
      </c>
      <c r="AF19" s="27">
        <f>Tabelle52839[[#This Row],[Doel]]+AF18</f>
        <v>300</v>
      </c>
    </row>
    <row r="20" spans="2:32" x14ac:dyDescent="0.35">
      <c r="B20" s="46">
        <v>44287</v>
      </c>
      <c r="C20" s="47">
        <f t="shared" si="0"/>
        <v>878.46000000000026</v>
      </c>
      <c r="D20" s="47">
        <v>732.05000000000007</v>
      </c>
      <c r="F20" s="46">
        <v>44287</v>
      </c>
      <c r="G20" s="47">
        <f>Tabelle5[[#This Row],[Realisatie]]+G19</f>
        <v>6133.06</v>
      </c>
      <c r="H20" s="47">
        <f>Tabelle5[[#This Row],[Doel]]+H19</f>
        <v>5852.55</v>
      </c>
      <c r="J20" s="46">
        <v>44287</v>
      </c>
      <c r="K20" s="47">
        <f t="shared" si="1"/>
        <v>11419.980000000001</v>
      </c>
      <c r="L20" s="47">
        <f t="shared" si="2"/>
        <v>15373.050000000007</v>
      </c>
      <c r="N20" s="46">
        <v>44287</v>
      </c>
      <c r="O20" s="47">
        <f>Tabelle517[[#This Row],[Realisatie]]+O19</f>
        <v>113719.78</v>
      </c>
      <c r="P20" s="47">
        <f>Tabelle517[[#This Row],[Doel]]+P19</f>
        <v>146103.55000000002</v>
      </c>
      <c r="R20" s="46">
        <v>44287</v>
      </c>
      <c r="S20" s="27">
        <v>6</v>
      </c>
      <c r="T20" s="27">
        <v>5</v>
      </c>
      <c r="V20" s="46">
        <v>44287</v>
      </c>
      <c r="W20" s="27">
        <f>Tabelle528[[#This Row],[Realisatie]]+W19</f>
        <v>62</v>
      </c>
      <c r="X20" s="27">
        <f>Tabelle528[[#This Row],[Doel]]+X19</f>
        <v>68</v>
      </c>
      <c r="Z20" s="46">
        <v>44287</v>
      </c>
      <c r="AA20" s="27">
        <v>25</v>
      </c>
      <c r="AB20" s="27">
        <v>20</v>
      </c>
      <c r="AD20" s="46">
        <v>44287</v>
      </c>
      <c r="AE20" s="27">
        <f>Tabelle52839[[#This Row],[Realisatie]]+AE19</f>
        <v>400</v>
      </c>
      <c r="AF20" s="27">
        <f>Tabelle52839[[#This Row],[Doel]]+AF19</f>
        <v>320</v>
      </c>
    </row>
    <row r="21" spans="2:32" x14ac:dyDescent="0.35">
      <c r="B21" s="46">
        <v>44317</v>
      </c>
      <c r="C21" s="47">
        <f t="shared" si="0"/>
        <v>966.30600000000038</v>
      </c>
      <c r="D21" s="47">
        <v>805.25500000000011</v>
      </c>
      <c r="F21" s="46">
        <v>44317</v>
      </c>
      <c r="G21" s="47">
        <f>Tabelle5[[#This Row],[Realisatie]]+G20</f>
        <v>7099.3660000000009</v>
      </c>
      <c r="H21" s="47">
        <f>Tabelle5[[#This Row],[Doel]]+H20</f>
        <v>6657.8050000000003</v>
      </c>
      <c r="J21" s="46">
        <v>44317</v>
      </c>
      <c r="K21" s="47">
        <f t="shared" si="1"/>
        <v>12561.978000000003</v>
      </c>
      <c r="L21" s="47">
        <f t="shared" si="2"/>
        <v>16910.355000000007</v>
      </c>
      <c r="N21" s="46">
        <v>44317</v>
      </c>
      <c r="O21" s="47">
        <f>Tabelle517[[#This Row],[Realisatie]]+O20</f>
        <v>126281.758</v>
      </c>
      <c r="P21" s="47">
        <f>Tabelle517[[#This Row],[Doel]]+P20</f>
        <v>163013.90500000003</v>
      </c>
      <c r="R21" s="46">
        <v>44317</v>
      </c>
      <c r="S21" s="27">
        <v>8</v>
      </c>
      <c r="T21" s="27">
        <v>5</v>
      </c>
      <c r="V21" s="46">
        <v>44317</v>
      </c>
      <c r="W21" s="27">
        <f>Tabelle528[[#This Row],[Realisatie]]+W20</f>
        <v>70</v>
      </c>
      <c r="X21" s="27">
        <f>Tabelle528[[#This Row],[Doel]]+X20</f>
        <v>73</v>
      </c>
      <c r="Z21" s="46">
        <v>44317</v>
      </c>
      <c r="AA21" s="27">
        <v>25</v>
      </c>
      <c r="AB21" s="27">
        <v>20</v>
      </c>
      <c r="AD21" s="46">
        <v>44317</v>
      </c>
      <c r="AE21" s="27">
        <f>Tabelle52839[[#This Row],[Realisatie]]+AE20</f>
        <v>425</v>
      </c>
      <c r="AF21" s="27">
        <f>Tabelle52839[[#This Row],[Doel]]+AF20</f>
        <v>340</v>
      </c>
    </row>
    <row r="22" spans="2:32" x14ac:dyDescent="0.35">
      <c r="B22" s="46">
        <v>44348</v>
      </c>
      <c r="C22" s="47">
        <f t="shared" si="0"/>
        <v>1062.9366000000005</v>
      </c>
      <c r="D22" s="47">
        <v>885.78050000000019</v>
      </c>
      <c r="F22" s="46">
        <v>44348</v>
      </c>
      <c r="G22" s="47">
        <f>Tabelle5[[#This Row],[Realisatie]]+G21</f>
        <v>8162.3026000000009</v>
      </c>
      <c r="H22" s="47">
        <f>Tabelle5[[#This Row],[Doel]]+H21</f>
        <v>7543.5855000000001</v>
      </c>
      <c r="J22" s="46">
        <v>44348</v>
      </c>
      <c r="K22" s="47">
        <f t="shared" si="1"/>
        <v>13818.175800000005</v>
      </c>
      <c r="L22" s="47">
        <f t="shared" si="2"/>
        <v>18601.390500000009</v>
      </c>
      <c r="N22" s="46">
        <v>44348</v>
      </c>
      <c r="O22" s="47">
        <f>Tabelle517[[#This Row],[Realisatie]]+O21</f>
        <v>140099.9338</v>
      </c>
      <c r="P22" s="47">
        <f>Tabelle517[[#This Row],[Doel]]+P21</f>
        <v>181615.29550000004</v>
      </c>
      <c r="R22" s="46">
        <v>44348</v>
      </c>
      <c r="S22" s="27">
        <v>7</v>
      </c>
      <c r="T22" s="27">
        <v>5</v>
      </c>
      <c r="V22" s="46">
        <v>44348</v>
      </c>
      <c r="W22" s="27">
        <f>Tabelle528[[#This Row],[Realisatie]]+W21</f>
        <v>77</v>
      </c>
      <c r="X22" s="27">
        <f>Tabelle528[[#This Row],[Doel]]+X21</f>
        <v>78</v>
      </c>
      <c r="Z22" s="46">
        <v>44348</v>
      </c>
      <c r="AA22" s="27">
        <v>25</v>
      </c>
      <c r="AB22" s="27">
        <v>20</v>
      </c>
      <c r="AD22" s="46">
        <v>44348</v>
      </c>
      <c r="AE22" s="27">
        <f>Tabelle52839[[#This Row],[Realisatie]]+AE21</f>
        <v>450</v>
      </c>
      <c r="AF22" s="27">
        <f>Tabelle52839[[#This Row],[Doel]]+AF21</f>
        <v>360</v>
      </c>
    </row>
    <row r="23" spans="2:32" x14ac:dyDescent="0.35">
      <c r="B23" s="46">
        <v>44378</v>
      </c>
      <c r="C23" s="47">
        <f t="shared" si="0"/>
        <v>1169.2302600000005</v>
      </c>
      <c r="D23" s="47">
        <v>974.35855000000026</v>
      </c>
      <c r="F23" s="46">
        <v>44378</v>
      </c>
      <c r="G23" s="47">
        <f>Tabelle5[[#This Row],[Realisatie]]+G22</f>
        <v>9331.5328600000012</v>
      </c>
      <c r="H23" s="47">
        <f>Tabelle5[[#This Row],[Doel]]+H22</f>
        <v>8517.9440500000001</v>
      </c>
      <c r="J23" s="46">
        <v>44378</v>
      </c>
      <c r="K23" s="47">
        <f t="shared" si="1"/>
        <v>15199.993380000005</v>
      </c>
      <c r="L23" s="47">
        <f t="shared" si="2"/>
        <v>20461.52955000001</v>
      </c>
      <c r="N23" s="46">
        <v>44378</v>
      </c>
      <c r="O23" s="47">
        <f>Tabelle517[[#This Row],[Realisatie]]+O22</f>
        <v>155299.92718</v>
      </c>
      <c r="P23" s="47">
        <f>Tabelle517[[#This Row],[Doel]]+P22</f>
        <v>202076.82505000004</v>
      </c>
      <c r="R23" s="46">
        <v>44378</v>
      </c>
      <c r="S23" s="27">
        <v>2</v>
      </c>
      <c r="T23" s="27">
        <v>5</v>
      </c>
      <c r="V23" s="46">
        <v>44378</v>
      </c>
      <c r="W23" s="27">
        <f>Tabelle528[[#This Row],[Realisatie]]+W22</f>
        <v>79</v>
      </c>
      <c r="X23" s="27">
        <f>Tabelle528[[#This Row],[Doel]]+X22</f>
        <v>83</v>
      </c>
      <c r="Z23" s="46">
        <v>44378</v>
      </c>
      <c r="AA23" s="27">
        <v>25</v>
      </c>
      <c r="AB23" s="27">
        <v>20</v>
      </c>
      <c r="AD23" s="46">
        <v>44378</v>
      </c>
      <c r="AE23" s="27">
        <f>Tabelle52839[[#This Row],[Realisatie]]+AE22</f>
        <v>475</v>
      </c>
      <c r="AF23" s="27">
        <f>Tabelle52839[[#This Row],[Doel]]+AF22</f>
        <v>380</v>
      </c>
    </row>
    <row r="24" spans="2:32" x14ac:dyDescent="0.35">
      <c r="B24" s="46">
        <v>44409</v>
      </c>
      <c r="C24" s="47"/>
      <c r="D24" s="47">
        <v>1071.7944050000003</v>
      </c>
      <c r="F24" s="46">
        <v>44409</v>
      </c>
      <c r="G24" s="47">
        <f>Tabelle5[[#This Row],[Realisatie]]+G23</f>
        <v>9331.5328600000012</v>
      </c>
      <c r="H24" s="47">
        <f>Tabelle5[[#This Row],[Doel]]+H23</f>
        <v>9589.7384550000006</v>
      </c>
      <c r="J24" s="46">
        <v>44409</v>
      </c>
      <c r="K24" s="47"/>
      <c r="L24" s="47">
        <f t="shared" si="2"/>
        <v>22507.682505000012</v>
      </c>
      <c r="N24" s="46">
        <v>44409</v>
      </c>
      <c r="O24" s="47">
        <f>Tabelle517[[#This Row],[Realisatie]]+O23</f>
        <v>155299.92718</v>
      </c>
      <c r="P24" s="47">
        <f>Tabelle517[[#This Row],[Doel]]+P23</f>
        <v>224584.50755500005</v>
      </c>
      <c r="R24" s="46">
        <v>44409</v>
      </c>
      <c r="T24" s="27">
        <v>5</v>
      </c>
      <c r="V24" s="46">
        <v>44409</v>
      </c>
      <c r="W24" s="27">
        <f>Tabelle528[[#This Row],[Realisatie]]+W23</f>
        <v>79</v>
      </c>
      <c r="X24" s="27">
        <f>Tabelle528[[#This Row],[Doel]]+X23</f>
        <v>88</v>
      </c>
      <c r="Z24" s="46">
        <v>44409</v>
      </c>
      <c r="AB24" s="27">
        <v>20</v>
      </c>
      <c r="AD24" s="46">
        <v>44409</v>
      </c>
      <c r="AE24" s="27">
        <f>Tabelle52839[[#This Row],[Realisatie]]+AE23</f>
        <v>475</v>
      </c>
      <c r="AF24" s="27">
        <f>Tabelle52839[[#This Row],[Doel]]+AF23</f>
        <v>400</v>
      </c>
    </row>
    <row r="25" spans="2:32" x14ac:dyDescent="0.35">
      <c r="B25" s="46">
        <v>44440</v>
      </c>
      <c r="C25" s="47"/>
      <c r="D25" s="47">
        <v>1178.9738455000004</v>
      </c>
      <c r="F25" s="46">
        <v>44440</v>
      </c>
      <c r="G25" s="47">
        <f>Tabelle5[[#This Row],[Realisatie]]+G24</f>
        <v>9331.5328600000012</v>
      </c>
      <c r="H25" s="47">
        <f>Tabelle5[[#This Row],[Doel]]+H24</f>
        <v>10768.712300500001</v>
      </c>
      <c r="J25" s="46">
        <v>44440</v>
      </c>
      <c r="K25" s="47"/>
      <c r="L25" s="47">
        <f t="shared" si="2"/>
        <v>24758.450755500016</v>
      </c>
      <c r="N25" s="46">
        <v>44440</v>
      </c>
      <c r="O25" s="47">
        <f>Tabelle517[[#This Row],[Realisatie]]+O24</f>
        <v>155299.92718</v>
      </c>
      <c r="P25" s="47">
        <f>Tabelle517[[#This Row],[Doel]]+P24</f>
        <v>249342.95831050008</v>
      </c>
      <c r="R25" s="46">
        <v>44440</v>
      </c>
      <c r="T25" s="27">
        <v>5</v>
      </c>
      <c r="V25" s="46">
        <v>44440</v>
      </c>
      <c r="W25" s="27">
        <f>Tabelle528[[#This Row],[Realisatie]]+W24</f>
        <v>79</v>
      </c>
      <c r="X25" s="27">
        <f>Tabelle528[[#This Row],[Doel]]+X24</f>
        <v>93</v>
      </c>
      <c r="Z25" s="46">
        <v>44440</v>
      </c>
      <c r="AB25" s="27">
        <v>20</v>
      </c>
      <c r="AD25" s="46">
        <v>44440</v>
      </c>
      <c r="AE25" s="27">
        <f>Tabelle52839[[#This Row],[Realisatie]]+AE24</f>
        <v>475</v>
      </c>
      <c r="AF25" s="27">
        <f>Tabelle52839[[#This Row],[Doel]]+AF24</f>
        <v>420</v>
      </c>
    </row>
    <row r="26" spans="2:32" x14ac:dyDescent="0.35">
      <c r="B26" s="46">
        <v>44470</v>
      </c>
      <c r="C26" s="47"/>
      <c r="D26" s="47">
        <v>1296.8712300500006</v>
      </c>
      <c r="F26" s="46">
        <v>44470</v>
      </c>
      <c r="G26" s="47">
        <f>Tabelle5[[#This Row],[Realisatie]]+G25</f>
        <v>9331.5328600000012</v>
      </c>
      <c r="H26" s="47">
        <f>Tabelle5[[#This Row],[Doel]]+H25</f>
        <v>12065.583530550002</v>
      </c>
      <c r="J26" s="46">
        <v>44470</v>
      </c>
      <c r="K26" s="47"/>
      <c r="L26" s="47">
        <f t="shared" si="2"/>
        <v>27234.295831050022</v>
      </c>
      <c r="N26" s="46">
        <v>44470</v>
      </c>
      <c r="O26" s="47">
        <f>Tabelle517[[#This Row],[Realisatie]]+O25</f>
        <v>155299.92718</v>
      </c>
      <c r="P26" s="47">
        <f>Tabelle517[[#This Row],[Doel]]+P25</f>
        <v>276577.2541415501</v>
      </c>
      <c r="R26" s="46">
        <v>44470</v>
      </c>
      <c r="T26" s="27">
        <v>5</v>
      </c>
      <c r="V26" s="46">
        <v>44470</v>
      </c>
      <c r="W26" s="27">
        <f>Tabelle528[[#This Row],[Realisatie]]+W25</f>
        <v>79</v>
      </c>
      <c r="X26" s="27">
        <f>Tabelle528[[#This Row],[Doel]]+X25</f>
        <v>98</v>
      </c>
      <c r="Z26" s="46">
        <v>44470</v>
      </c>
      <c r="AB26" s="27">
        <v>20</v>
      </c>
      <c r="AD26" s="46">
        <v>44470</v>
      </c>
      <c r="AE26" s="27">
        <f>Tabelle52839[[#This Row],[Realisatie]]+AE25</f>
        <v>475</v>
      </c>
      <c r="AF26" s="27">
        <f>Tabelle52839[[#This Row],[Doel]]+AF25</f>
        <v>440</v>
      </c>
    </row>
    <row r="27" spans="2:32" x14ac:dyDescent="0.35">
      <c r="B27" s="46">
        <v>44501</v>
      </c>
      <c r="C27" s="47"/>
      <c r="D27" s="47">
        <v>1426.5583530550007</v>
      </c>
      <c r="F27" s="46">
        <v>44501</v>
      </c>
      <c r="G27" s="47">
        <f>Tabelle5[[#This Row],[Realisatie]]+G26</f>
        <v>9331.5328600000012</v>
      </c>
      <c r="H27" s="47">
        <f>Tabelle5[[#This Row],[Doel]]+H26</f>
        <v>13492.141883605003</v>
      </c>
      <c r="J27" s="46">
        <v>44501</v>
      </c>
      <c r="K27" s="47"/>
      <c r="L27" s="47">
        <f t="shared" si="2"/>
        <v>29957.725414155026</v>
      </c>
      <c r="N27" s="46">
        <v>44501</v>
      </c>
      <c r="O27" s="47">
        <f>Tabelle517[[#This Row],[Realisatie]]+O26</f>
        <v>155299.92718</v>
      </c>
      <c r="P27" s="47">
        <f>Tabelle517[[#This Row],[Doel]]+P26</f>
        <v>306534.97955570515</v>
      </c>
      <c r="R27" s="46">
        <v>44501</v>
      </c>
      <c r="T27" s="27">
        <v>5</v>
      </c>
      <c r="V27" s="46">
        <v>44501</v>
      </c>
      <c r="W27" s="27">
        <f>Tabelle528[[#This Row],[Realisatie]]+W26</f>
        <v>79</v>
      </c>
      <c r="X27" s="27">
        <f>Tabelle528[[#This Row],[Doel]]+X26</f>
        <v>103</v>
      </c>
      <c r="Z27" s="46">
        <v>44501</v>
      </c>
      <c r="AB27" s="27">
        <v>20</v>
      </c>
      <c r="AD27" s="46">
        <v>44501</v>
      </c>
      <c r="AE27" s="27">
        <f>Tabelle52839[[#This Row],[Realisatie]]+AE26</f>
        <v>475</v>
      </c>
      <c r="AF27" s="27">
        <f>Tabelle52839[[#This Row],[Doel]]+AF26</f>
        <v>460</v>
      </c>
    </row>
    <row r="28" spans="2:32" x14ac:dyDescent="0.35">
      <c r="B28" s="46">
        <v>44531</v>
      </c>
      <c r="C28" s="47"/>
      <c r="D28" s="47">
        <v>1569.2141883605009</v>
      </c>
      <c r="F28" s="46">
        <v>44531</v>
      </c>
      <c r="G28" s="47">
        <f>Tabelle5[[#This Row],[Realisatie]]+G27</f>
        <v>9331.5328600000012</v>
      </c>
      <c r="H28" s="47">
        <f>Tabelle5[[#This Row],[Doel]]+H27</f>
        <v>15061.356071965503</v>
      </c>
      <c r="J28" s="46">
        <v>44531</v>
      </c>
      <c r="K28" s="47"/>
      <c r="L28" s="47">
        <f t="shared" si="2"/>
        <v>32953.497955570529</v>
      </c>
      <c r="N28" s="46">
        <v>44531</v>
      </c>
      <c r="O28" s="47">
        <f>Tabelle517[[#This Row],[Realisatie]]+O27</f>
        <v>155299.92718</v>
      </c>
      <c r="P28" s="47">
        <f>Tabelle517[[#This Row],[Doel]]+P27</f>
        <v>339488.47751127568</v>
      </c>
      <c r="R28" s="46">
        <v>44531</v>
      </c>
      <c r="T28" s="27">
        <v>5</v>
      </c>
      <c r="V28" s="46">
        <v>44531</v>
      </c>
      <c r="W28" s="27">
        <f>Tabelle528[[#This Row],[Realisatie]]+W27</f>
        <v>79</v>
      </c>
      <c r="X28" s="27">
        <f>Tabelle528[[#This Row],[Doel]]+X27</f>
        <v>108</v>
      </c>
      <c r="Z28" s="46">
        <v>44531</v>
      </c>
      <c r="AB28" s="27">
        <v>20</v>
      </c>
      <c r="AD28" s="46">
        <v>44531</v>
      </c>
      <c r="AE28" s="27">
        <f>Tabelle52839[[#This Row],[Realisatie]]+AE27</f>
        <v>475</v>
      </c>
      <c r="AF28" s="27">
        <f>Tabelle52839[[#This Row],[Doel]]+AF27</f>
        <v>480</v>
      </c>
    </row>
    <row r="29" spans="2:32" x14ac:dyDescent="0.35">
      <c r="B29" s="46">
        <v>44562</v>
      </c>
      <c r="C29" s="47"/>
      <c r="D29" s="47">
        <v>1726.1356071965511</v>
      </c>
      <c r="F29" s="46">
        <v>44562</v>
      </c>
      <c r="G29" s="47">
        <f>Tabelle5[[#This Row],[Realisatie]]+G28</f>
        <v>9331.5328600000012</v>
      </c>
      <c r="H29" s="47">
        <f>Tabelle5[[#This Row],[Doel]]+H28</f>
        <v>16787.491679162056</v>
      </c>
      <c r="J29" s="46">
        <v>44562</v>
      </c>
      <c r="K29" s="47"/>
      <c r="L29" s="47">
        <f t="shared" si="2"/>
        <v>36248.847751127585</v>
      </c>
      <c r="N29" s="46">
        <v>44562</v>
      </c>
      <c r="O29" s="47">
        <f>Tabelle517[[#This Row],[Realisatie]]+O28</f>
        <v>155299.92718</v>
      </c>
      <c r="P29" s="47">
        <f>Tabelle517[[#This Row],[Doel]]+P28</f>
        <v>375737.32526240323</v>
      </c>
      <c r="R29" s="46">
        <v>44562</v>
      </c>
      <c r="T29" s="27">
        <v>5</v>
      </c>
      <c r="V29" s="46">
        <v>44562</v>
      </c>
      <c r="W29" s="27">
        <f>Tabelle528[[#This Row],[Realisatie]]+W28</f>
        <v>79</v>
      </c>
      <c r="X29" s="27">
        <f>Tabelle528[[#This Row],[Doel]]+X28</f>
        <v>113</v>
      </c>
      <c r="Z29" s="46">
        <v>44562</v>
      </c>
      <c r="AB29" s="27">
        <v>20</v>
      </c>
      <c r="AD29" s="46">
        <v>44562</v>
      </c>
      <c r="AE29" s="27">
        <f>Tabelle52839[[#This Row],[Realisatie]]+AE28</f>
        <v>475</v>
      </c>
      <c r="AF29" s="27">
        <f>Tabelle52839[[#This Row],[Doel]]+AF28</f>
        <v>500</v>
      </c>
    </row>
    <row r="30" spans="2:32" x14ac:dyDescent="0.35">
      <c r="B30" s="46">
        <v>44593</v>
      </c>
      <c r="C30" s="47"/>
      <c r="D30" s="47">
        <v>1898.7491679162063</v>
      </c>
      <c r="F30" s="46">
        <v>44593</v>
      </c>
      <c r="G30" s="47">
        <f>Tabelle5[[#This Row],[Realisatie]]+G29</f>
        <v>9331.5328600000012</v>
      </c>
      <c r="H30" s="47">
        <f>Tabelle5[[#This Row],[Doel]]+H29</f>
        <v>18686.240847078261</v>
      </c>
      <c r="J30" s="46">
        <v>44593</v>
      </c>
      <c r="K30" s="47"/>
      <c r="L30" s="47">
        <f t="shared" si="2"/>
        <v>39873.732526240346</v>
      </c>
      <c r="N30" s="46">
        <v>44593</v>
      </c>
      <c r="O30" s="47">
        <f>Tabelle517[[#This Row],[Realisatie]]+O29</f>
        <v>155299.92718</v>
      </c>
      <c r="P30" s="47">
        <f>Tabelle517[[#This Row],[Doel]]+P29</f>
        <v>415611.05778864358</v>
      </c>
      <c r="R30" s="46">
        <v>44593</v>
      </c>
      <c r="T30" s="27">
        <v>5</v>
      </c>
      <c r="V30" s="46">
        <v>44593</v>
      </c>
      <c r="W30" s="27">
        <f>Tabelle528[[#This Row],[Realisatie]]+W29</f>
        <v>79</v>
      </c>
      <c r="X30" s="27">
        <f>Tabelle528[[#This Row],[Doel]]+X29</f>
        <v>118</v>
      </c>
      <c r="Z30" s="46">
        <v>44593</v>
      </c>
      <c r="AB30" s="27">
        <v>20</v>
      </c>
      <c r="AD30" s="46">
        <v>44593</v>
      </c>
      <c r="AE30" s="27">
        <f>Tabelle52839[[#This Row],[Realisatie]]+AE29</f>
        <v>475</v>
      </c>
      <c r="AF30" s="27">
        <f>Tabelle52839[[#This Row],[Doel]]+AF29</f>
        <v>520</v>
      </c>
    </row>
    <row r="31" spans="2:32" x14ac:dyDescent="0.35">
      <c r="B31" s="46">
        <v>44621</v>
      </c>
      <c r="C31" s="47"/>
      <c r="D31" s="47">
        <v>2088.624084707827</v>
      </c>
      <c r="F31" s="46">
        <v>44621</v>
      </c>
      <c r="G31" s="47">
        <f>Tabelle5[[#This Row],[Realisatie]]+G30</f>
        <v>9331.5328600000012</v>
      </c>
      <c r="H31" s="47">
        <f>Tabelle5[[#This Row],[Doel]]+H30</f>
        <v>20774.864931786087</v>
      </c>
      <c r="J31" s="46">
        <v>44621</v>
      </c>
      <c r="K31" s="47"/>
      <c r="L31" s="47">
        <f t="shared" si="2"/>
        <v>43861.105778864381</v>
      </c>
      <c r="N31" s="46">
        <v>44621</v>
      </c>
      <c r="O31" s="47">
        <f>Tabelle517[[#This Row],[Realisatie]]+O30</f>
        <v>155299.92718</v>
      </c>
      <c r="P31" s="47">
        <f>Tabelle517[[#This Row],[Doel]]+P30</f>
        <v>459472.16356750799</v>
      </c>
      <c r="R31" s="46">
        <v>44621</v>
      </c>
      <c r="T31" s="27">
        <v>5</v>
      </c>
      <c r="V31" s="46">
        <v>44621</v>
      </c>
      <c r="W31" s="27">
        <f>Tabelle528[[#This Row],[Realisatie]]+W30</f>
        <v>79</v>
      </c>
      <c r="X31" s="27">
        <f>Tabelle528[[#This Row],[Doel]]+X30</f>
        <v>123</v>
      </c>
      <c r="Z31" s="46">
        <v>44621</v>
      </c>
      <c r="AB31" s="27">
        <v>20</v>
      </c>
      <c r="AD31" s="46">
        <v>44621</v>
      </c>
      <c r="AE31" s="27">
        <f>Tabelle52839[[#This Row],[Realisatie]]+AE30</f>
        <v>475</v>
      </c>
      <c r="AF31" s="27">
        <f>Tabelle52839[[#This Row],[Doel]]+AF30</f>
        <v>540</v>
      </c>
    </row>
    <row r="32" spans="2:32" x14ac:dyDescent="0.35">
      <c r="B32" s="46">
        <v>44652</v>
      </c>
      <c r="C32" s="47"/>
      <c r="D32" s="47">
        <v>2297.4864931786101</v>
      </c>
      <c r="F32" s="46">
        <v>44652</v>
      </c>
      <c r="G32" s="47">
        <f>Tabelle5[[#This Row],[Realisatie]]+G31</f>
        <v>9331.5328600000012</v>
      </c>
      <c r="H32" s="47">
        <f>Tabelle5[[#This Row],[Doel]]+H31</f>
        <v>23072.351424964698</v>
      </c>
      <c r="J32" s="46">
        <v>44652</v>
      </c>
      <c r="K32" s="47"/>
      <c r="L32" s="47">
        <f t="shared" si="2"/>
        <v>48247.216356750825</v>
      </c>
      <c r="N32" s="46">
        <v>44652</v>
      </c>
      <c r="O32" s="47">
        <f>Tabelle517[[#This Row],[Realisatie]]+O31</f>
        <v>155299.92718</v>
      </c>
      <c r="P32" s="47">
        <f>Tabelle517[[#This Row],[Doel]]+P31</f>
        <v>507719.3799242588</v>
      </c>
      <c r="R32" s="46">
        <v>44652</v>
      </c>
      <c r="T32" s="27">
        <v>5</v>
      </c>
      <c r="V32" s="46">
        <v>44652</v>
      </c>
      <c r="W32" s="27">
        <f>Tabelle528[[#This Row],[Realisatie]]+W31</f>
        <v>79</v>
      </c>
      <c r="X32" s="27">
        <f>Tabelle528[[#This Row],[Doel]]+X31</f>
        <v>128</v>
      </c>
      <c r="Z32" s="46">
        <v>44652</v>
      </c>
      <c r="AB32" s="27">
        <v>20</v>
      </c>
      <c r="AD32" s="46">
        <v>44652</v>
      </c>
      <c r="AE32" s="27">
        <f>Tabelle52839[[#This Row],[Realisatie]]+AE31</f>
        <v>475</v>
      </c>
      <c r="AF32" s="27">
        <f>Tabelle52839[[#This Row],[Doel]]+AF31</f>
        <v>560</v>
      </c>
    </row>
    <row r="33" spans="2:32" x14ac:dyDescent="0.35">
      <c r="B33" s="46">
        <v>44682</v>
      </c>
      <c r="C33" s="47"/>
      <c r="D33" s="47">
        <v>2527.2351424964713</v>
      </c>
      <c r="F33" s="46">
        <v>44682</v>
      </c>
      <c r="G33" s="47">
        <f>Tabelle5[[#This Row],[Realisatie]]+G32</f>
        <v>9331.5328600000012</v>
      </c>
      <c r="H33" s="47">
        <f>Tabelle5[[#This Row],[Doel]]+H32</f>
        <v>25599.58656746117</v>
      </c>
      <c r="J33" s="46">
        <v>44682</v>
      </c>
      <c r="K33" s="47"/>
      <c r="L33" s="47">
        <f t="shared" si="2"/>
        <v>53071.937992425912</v>
      </c>
      <c r="N33" s="46">
        <v>44682</v>
      </c>
      <c r="O33" s="47">
        <f>Tabelle517[[#This Row],[Realisatie]]+O32</f>
        <v>155299.92718</v>
      </c>
      <c r="P33" s="47">
        <f>Tabelle517[[#This Row],[Doel]]+P32</f>
        <v>560791.31791668467</v>
      </c>
      <c r="R33" s="46">
        <v>44682</v>
      </c>
      <c r="T33" s="27">
        <v>5</v>
      </c>
      <c r="V33" s="46">
        <v>44682</v>
      </c>
      <c r="W33" s="27">
        <f>Tabelle528[[#This Row],[Realisatie]]+W32</f>
        <v>79</v>
      </c>
      <c r="X33" s="27">
        <f>Tabelle528[[#This Row],[Doel]]+X32</f>
        <v>133</v>
      </c>
      <c r="Z33" s="46">
        <v>44682</v>
      </c>
      <c r="AB33" s="27">
        <v>20</v>
      </c>
      <c r="AD33" s="46">
        <v>44682</v>
      </c>
      <c r="AE33" s="27">
        <f>Tabelle52839[[#This Row],[Realisatie]]+AE32</f>
        <v>475</v>
      </c>
      <c r="AF33" s="27">
        <f>Tabelle52839[[#This Row],[Doel]]+AF32</f>
        <v>580</v>
      </c>
    </row>
    <row r="34" spans="2:32" x14ac:dyDescent="0.35">
      <c r="B34" s="46">
        <v>44713</v>
      </c>
      <c r="C34" s="47"/>
      <c r="D34" s="47">
        <v>2779.9586567461188</v>
      </c>
      <c r="F34" s="46">
        <v>44713</v>
      </c>
      <c r="G34" s="47">
        <f>Tabelle5[[#This Row],[Realisatie]]+G33</f>
        <v>9331.5328600000012</v>
      </c>
      <c r="H34" s="47">
        <f>Tabelle5[[#This Row],[Doel]]+H33</f>
        <v>28379.54522420729</v>
      </c>
      <c r="J34" s="46">
        <v>44713</v>
      </c>
      <c r="K34" s="47"/>
      <c r="L34" s="47">
        <f t="shared" si="2"/>
        <v>58379.131791668508</v>
      </c>
      <c r="N34" s="46">
        <v>44713</v>
      </c>
      <c r="O34" s="47">
        <f>Tabelle517[[#This Row],[Realisatie]]+O33</f>
        <v>155299.92718</v>
      </c>
      <c r="P34" s="47">
        <f>Tabelle517[[#This Row],[Doel]]+P33</f>
        <v>619170.44970835315</v>
      </c>
      <c r="R34" s="46">
        <v>44713</v>
      </c>
      <c r="T34" s="27">
        <v>5</v>
      </c>
      <c r="V34" s="46">
        <v>44713</v>
      </c>
      <c r="W34" s="27">
        <f>Tabelle528[[#This Row],[Realisatie]]+W33</f>
        <v>79</v>
      </c>
      <c r="X34" s="27">
        <f>Tabelle528[[#This Row],[Doel]]+X33</f>
        <v>138</v>
      </c>
      <c r="Z34" s="46">
        <v>44713</v>
      </c>
      <c r="AB34" s="27">
        <v>20</v>
      </c>
      <c r="AD34" s="46">
        <v>44713</v>
      </c>
      <c r="AE34" s="27">
        <f>Tabelle52839[[#This Row],[Realisatie]]+AE33</f>
        <v>475</v>
      </c>
      <c r="AF34" s="27">
        <f>Tabelle52839[[#This Row],[Doel]]+AF33</f>
        <v>600</v>
      </c>
    </row>
    <row r="35" spans="2:32" x14ac:dyDescent="0.35">
      <c r="B35" s="46">
        <v>44743</v>
      </c>
      <c r="C35" s="47"/>
      <c r="D35" s="47">
        <v>3057.9545224207309</v>
      </c>
      <c r="F35" s="46">
        <v>44743</v>
      </c>
      <c r="G35" s="47">
        <f>Tabelle5[[#This Row],[Realisatie]]+G34</f>
        <v>9331.5328600000012</v>
      </c>
      <c r="H35" s="47">
        <f>Tabelle5[[#This Row],[Doel]]+H34</f>
        <v>31437.499746628022</v>
      </c>
      <c r="J35" s="46">
        <v>44743</v>
      </c>
      <c r="K35" s="47"/>
      <c r="L35" s="47">
        <f t="shared" si="2"/>
        <v>64217.044970835363</v>
      </c>
      <c r="N35" s="46">
        <v>44743</v>
      </c>
      <c r="O35" s="47">
        <f>Tabelle517[[#This Row],[Realisatie]]+O34</f>
        <v>155299.92718</v>
      </c>
      <c r="P35" s="47">
        <f>Tabelle517[[#This Row],[Doel]]+P34</f>
        <v>683387.49467918847</v>
      </c>
      <c r="R35" s="46">
        <v>44743</v>
      </c>
      <c r="T35" s="27">
        <v>5</v>
      </c>
      <c r="V35" s="46">
        <v>44743</v>
      </c>
      <c r="W35" s="27">
        <f>Tabelle528[[#This Row],[Realisatie]]+W34</f>
        <v>79</v>
      </c>
      <c r="X35" s="27">
        <f>Tabelle528[[#This Row],[Doel]]+X34</f>
        <v>143</v>
      </c>
      <c r="Z35" s="46">
        <v>44743</v>
      </c>
      <c r="AB35" s="27">
        <v>20</v>
      </c>
      <c r="AD35" s="46">
        <v>44743</v>
      </c>
      <c r="AE35" s="27">
        <f>Tabelle52839[[#This Row],[Realisatie]]+AE34</f>
        <v>475</v>
      </c>
      <c r="AF35" s="27">
        <f>Tabelle52839[[#This Row],[Doel]]+AF34</f>
        <v>620</v>
      </c>
    </row>
    <row r="36" spans="2:32" x14ac:dyDescent="0.35">
      <c r="B36" s="46">
        <v>44774</v>
      </c>
      <c r="C36" s="47"/>
      <c r="D36" s="47">
        <v>3600</v>
      </c>
      <c r="F36" s="46">
        <v>44774</v>
      </c>
      <c r="G36" s="47">
        <f>Tabelle5[[#This Row],[Realisatie]]+G35</f>
        <v>9331.5328600000012</v>
      </c>
      <c r="H36" s="47">
        <f>Tabelle5[[#This Row],[Doel]]+H35</f>
        <v>35037.499746628018</v>
      </c>
      <c r="J36" s="46">
        <v>44774</v>
      </c>
      <c r="L36" s="27">
        <v>65000</v>
      </c>
      <c r="N36" s="46">
        <v>44774</v>
      </c>
      <c r="O36" s="47">
        <f>Tabelle517[[#This Row],[Realisatie]]+O35</f>
        <v>155299.92718</v>
      </c>
      <c r="P36" s="47">
        <f>Tabelle517[[#This Row],[Doel]]+P35</f>
        <v>748387.49467918847</v>
      </c>
      <c r="R36" s="46">
        <v>44774</v>
      </c>
      <c r="T36" s="27">
        <v>5</v>
      </c>
      <c r="V36" s="46">
        <v>44774</v>
      </c>
      <c r="W36" s="27">
        <f>Tabelle528[[#This Row],[Realisatie]]+W35</f>
        <v>79</v>
      </c>
      <c r="X36" s="27">
        <f>Tabelle528[[#This Row],[Doel]]+X35</f>
        <v>148</v>
      </c>
      <c r="Z36" s="46">
        <v>44774</v>
      </c>
      <c r="AB36" s="27">
        <v>20</v>
      </c>
      <c r="AD36" s="46">
        <v>44774</v>
      </c>
      <c r="AE36" s="27">
        <f>Tabelle52839[[#This Row],[Realisatie]]+AE35</f>
        <v>475</v>
      </c>
      <c r="AF36" s="27">
        <f>Tabelle52839[[#This Row],[Doel]]+AF35</f>
        <v>640</v>
      </c>
    </row>
    <row r="37" spans="2:32" x14ac:dyDescent="0.35">
      <c r="B37" s="46">
        <v>44805</v>
      </c>
      <c r="C37" s="47"/>
      <c r="D37" s="47">
        <v>3600</v>
      </c>
      <c r="F37" s="46">
        <v>44805</v>
      </c>
      <c r="G37" s="47">
        <f>Tabelle5[[#This Row],[Realisatie]]+G36</f>
        <v>9331.5328600000012</v>
      </c>
      <c r="H37" s="47">
        <f>Tabelle5[[#This Row],[Doel]]+H36</f>
        <v>38637.499746628018</v>
      </c>
      <c r="J37" s="46">
        <v>44805</v>
      </c>
      <c r="L37" s="27">
        <v>65000</v>
      </c>
      <c r="N37" s="46">
        <v>44805</v>
      </c>
      <c r="O37" s="47">
        <f>Tabelle517[[#This Row],[Realisatie]]+O36</f>
        <v>155299.92718</v>
      </c>
      <c r="P37" s="47">
        <f>Tabelle517[[#This Row],[Doel]]+P36</f>
        <v>813387.49467918847</v>
      </c>
      <c r="R37" s="46">
        <v>44805</v>
      </c>
      <c r="T37" s="27">
        <v>5</v>
      </c>
      <c r="V37" s="46">
        <v>44805</v>
      </c>
      <c r="W37" s="27">
        <f>Tabelle528[[#This Row],[Realisatie]]+W36</f>
        <v>79</v>
      </c>
      <c r="X37" s="27">
        <f>Tabelle528[[#This Row],[Doel]]+X36</f>
        <v>153</v>
      </c>
      <c r="Z37" s="46">
        <v>44805</v>
      </c>
      <c r="AB37" s="27">
        <v>20</v>
      </c>
      <c r="AD37" s="46">
        <v>44805</v>
      </c>
      <c r="AE37" s="27">
        <f>Tabelle52839[[#This Row],[Realisatie]]+AE36</f>
        <v>475</v>
      </c>
      <c r="AF37" s="27">
        <f>Tabelle52839[[#This Row],[Doel]]+AF36</f>
        <v>660</v>
      </c>
    </row>
    <row r="38" spans="2:32" x14ac:dyDescent="0.35">
      <c r="B38" s="46">
        <v>44835</v>
      </c>
      <c r="C38" s="47"/>
      <c r="D38" s="47">
        <v>3600</v>
      </c>
      <c r="F38" s="46">
        <v>44835</v>
      </c>
      <c r="G38" s="47">
        <f>Tabelle5[[#This Row],[Realisatie]]+G37</f>
        <v>9331.5328600000012</v>
      </c>
      <c r="H38" s="47">
        <f>Tabelle5[[#This Row],[Doel]]+H37</f>
        <v>42237.499746628018</v>
      </c>
      <c r="J38" s="46">
        <v>44835</v>
      </c>
      <c r="L38" s="27">
        <v>65000</v>
      </c>
      <c r="N38" s="46">
        <v>44835</v>
      </c>
      <c r="O38" s="47">
        <f>Tabelle517[[#This Row],[Realisatie]]+O37</f>
        <v>155299.92718</v>
      </c>
      <c r="P38" s="47">
        <f>Tabelle517[[#This Row],[Doel]]+P37</f>
        <v>878387.49467918847</v>
      </c>
      <c r="R38" s="46">
        <v>44835</v>
      </c>
      <c r="T38" s="27">
        <v>5</v>
      </c>
      <c r="V38" s="46">
        <v>44835</v>
      </c>
      <c r="W38" s="27">
        <f>Tabelle528[[#This Row],[Realisatie]]+W37</f>
        <v>79</v>
      </c>
      <c r="X38" s="27">
        <f>Tabelle528[[#This Row],[Doel]]+X37</f>
        <v>158</v>
      </c>
      <c r="Z38" s="46">
        <v>44835</v>
      </c>
      <c r="AB38" s="27">
        <v>20</v>
      </c>
      <c r="AD38" s="46">
        <v>44835</v>
      </c>
      <c r="AE38" s="27">
        <f>Tabelle52839[[#This Row],[Realisatie]]+AE37</f>
        <v>475</v>
      </c>
      <c r="AF38" s="27">
        <f>Tabelle52839[[#This Row],[Doel]]+AF37</f>
        <v>680</v>
      </c>
    </row>
    <row r="39" spans="2:32" x14ac:dyDescent="0.35">
      <c r="B39" s="46">
        <v>44866</v>
      </c>
      <c r="C39" s="47"/>
      <c r="D39" s="47">
        <v>3600</v>
      </c>
      <c r="F39" s="46">
        <v>44866</v>
      </c>
      <c r="G39" s="47">
        <f>Tabelle5[[#This Row],[Realisatie]]+G38</f>
        <v>9331.5328600000012</v>
      </c>
      <c r="H39" s="47">
        <f>Tabelle5[[#This Row],[Doel]]+H38</f>
        <v>45837.499746628018</v>
      </c>
      <c r="J39" s="46">
        <v>44866</v>
      </c>
      <c r="L39" s="27">
        <v>65000</v>
      </c>
      <c r="N39" s="46">
        <v>44866</v>
      </c>
      <c r="O39" s="47">
        <f>Tabelle517[[#This Row],[Realisatie]]+O38</f>
        <v>155299.92718</v>
      </c>
      <c r="P39" s="47">
        <f>Tabelle517[[#This Row],[Doel]]+P38</f>
        <v>943387.49467918847</v>
      </c>
      <c r="R39" s="46">
        <v>44866</v>
      </c>
      <c r="T39" s="27">
        <v>5</v>
      </c>
      <c r="V39" s="46">
        <v>44866</v>
      </c>
      <c r="W39" s="27">
        <f>Tabelle528[[#This Row],[Realisatie]]+W38</f>
        <v>79</v>
      </c>
      <c r="X39" s="27">
        <f>Tabelle528[[#This Row],[Doel]]+X38</f>
        <v>163</v>
      </c>
      <c r="Z39" s="46">
        <v>44866</v>
      </c>
      <c r="AB39" s="27">
        <v>20</v>
      </c>
      <c r="AD39" s="46">
        <v>44866</v>
      </c>
      <c r="AE39" s="27">
        <f>Tabelle52839[[#This Row],[Realisatie]]+AE38</f>
        <v>475</v>
      </c>
      <c r="AF39" s="27">
        <f>Tabelle52839[[#This Row],[Doel]]+AF38</f>
        <v>700</v>
      </c>
    </row>
    <row r="40" spans="2:32" x14ac:dyDescent="0.35">
      <c r="B40" s="46">
        <v>44896</v>
      </c>
      <c r="C40" s="47"/>
      <c r="D40" s="47">
        <v>3600</v>
      </c>
      <c r="F40" s="46">
        <v>44896</v>
      </c>
      <c r="G40" s="47">
        <f>Tabelle5[[#This Row],[Realisatie]]+G39</f>
        <v>9331.5328600000012</v>
      </c>
      <c r="H40" s="47">
        <f>Tabelle5[[#This Row],[Doel]]+H39</f>
        <v>49437.499746628018</v>
      </c>
      <c r="J40" s="46">
        <v>44896</v>
      </c>
      <c r="L40" s="27">
        <v>65000</v>
      </c>
      <c r="N40" s="46">
        <v>44896</v>
      </c>
      <c r="O40" s="47">
        <f>Tabelle517[[#This Row],[Realisatie]]+O39</f>
        <v>155299.92718</v>
      </c>
      <c r="P40" s="47">
        <f>Tabelle517[[#This Row],[Doel]]+P39</f>
        <v>1008387.4946791885</v>
      </c>
      <c r="R40" s="46">
        <v>44896</v>
      </c>
      <c r="T40" s="27">
        <v>5</v>
      </c>
      <c r="V40" s="46">
        <v>44896</v>
      </c>
      <c r="W40" s="27">
        <f>Tabelle528[[#This Row],[Realisatie]]+W39</f>
        <v>79</v>
      </c>
      <c r="X40" s="27">
        <f>Tabelle528[[#This Row],[Doel]]+X39</f>
        <v>168</v>
      </c>
      <c r="Z40" s="46">
        <v>44896</v>
      </c>
      <c r="AB40" s="27">
        <v>20</v>
      </c>
      <c r="AD40" s="46">
        <v>44896</v>
      </c>
      <c r="AE40" s="27">
        <f>Tabelle52839[[#This Row],[Realisatie]]+AE39</f>
        <v>475</v>
      </c>
      <c r="AF40" s="27">
        <f>Tabelle52839[[#This Row],[Doel]]+AF39</f>
        <v>720</v>
      </c>
    </row>
    <row r="41" spans="2:32" x14ac:dyDescent="0.35">
      <c r="B41" s="46"/>
      <c r="F41" s="46"/>
      <c r="J41" s="46"/>
      <c r="N41" s="46"/>
      <c r="R41" s="46"/>
      <c r="V41" s="46"/>
      <c r="Z41" s="46"/>
      <c r="AD41" s="46"/>
    </row>
    <row r="43" spans="2:32" x14ac:dyDescent="0.35">
      <c r="B43" s="27" t="str">
        <f>Dropdown!C4</f>
        <v>Uitbetalingen</v>
      </c>
      <c r="C43" s="27" t="s">
        <v>0</v>
      </c>
      <c r="F43" s="27" t="str">
        <f>B43</f>
        <v>Uitbetalingen</v>
      </c>
      <c r="G43" s="27" t="s">
        <v>1</v>
      </c>
      <c r="J43" s="27" t="str">
        <f>Dropdown!C9</f>
        <v>Paginaweergaven</v>
      </c>
      <c r="K43" s="27" t="s">
        <v>0</v>
      </c>
      <c r="N43" s="27" t="str">
        <f>J43</f>
        <v>Paginaweergaven</v>
      </c>
      <c r="O43" s="27" t="s">
        <v>1</v>
      </c>
      <c r="R43" s="27" t="str">
        <f>Dropdown!C14</f>
        <v>E-maillijst</v>
      </c>
      <c r="S43" s="27" t="s">
        <v>0</v>
      </c>
      <c r="V43" s="27" t="str">
        <f>R43</f>
        <v>E-maillijst</v>
      </c>
      <c r="W43" s="27" t="s">
        <v>1</v>
      </c>
      <c r="Z43" s="27" t="str">
        <f>Dropdown!C17</f>
        <v>Overuren</v>
      </c>
      <c r="AA43" s="27" t="s">
        <v>0</v>
      </c>
      <c r="AD43" s="27" t="str">
        <f>Z43</f>
        <v>Overuren</v>
      </c>
      <c r="AE43" s="27" t="s">
        <v>1</v>
      </c>
    </row>
    <row r="44" spans="2:32" x14ac:dyDescent="0.35">
      <c r="B44" s="27" t="s">
        <v>35</v>
      </c>
      <c r="C44" s="27" t="s">
        <v>33</v>
      </c>
      <c r="D44" s="27" t="s">
        <v>34</v>
      </c>
      <c r="F44" s="27" t="s">
        <v>35</v>
      </c>
      <c r="G44" s="27" t="s">
        <v>33</v>
      </c>
      <c r="H44" s="27" t="s">
        <v>34</v>
      </c>
      <c r="J44" s="27" t="s">
        <v>35</v>
      </c>
      <c r="K44" s="27" t="s">
        <v>33</v>
      </c>
      <c r="L44" s="27" t="s">
        <v>34</v>
      </c>
      <c r="N44" s="27" t="s">
        <v>35</v>
      </c>
      <c r="O44" s="27" t="s">
        <v>33</v>
      </c>
      <c r="P44" s="27" t="s">
        <v>34</v>
      </c>
      <c r="R44" s="27" t="s">
        <v>35</v>
      </c>
      <c r="S44" s="27" t="s">
        <v>33</v>
      </c>
      <c r="T44" s="27" t="s">
        <v>34</v>
      </c>
      <c r="V44" s="27" t="s">
        <v>35</v>
      </c>
      <c r="W44" s="27" t="s">
        <v>33</v>
      </c>
      <c r="X44" s="27" t="s">
        <v>34</v>
      </c>
      <c r="Z44" s="27" t="s">
        <v>35</v>
      </c>
      <c r="AA44" s="27" t="s">
        <v>33</v>
      </c>
      <c r="AB44" s="27" t="s">
        <v>34</v>
      </c>
      <c r="AD44" s="27" t="s">
        <v>35</v>
      </c>
      <c r="AE44" s="27" t="s">
        <v>33</v>
      </c>
      <c r="AF44" s="27" t="s">
        <v>34</v>
      </c>
    </row>
    <row r="45" spans="2:32" x14ac:dyDescent="0.35">
      <c r="B45" s="46">
        <v>43831</v>
      </c>
      <c r="C45" s="27">
        <v>30</v>
      </c>
      <c r="D45" s="27">
        <v>40</v>
      </c>
      <c r="F45" s="46">
        <v>43831</v>
      </c>
      <c r="G45" s="27">
        <f>Tabelle58[[#This Row],[Realisatie]]</f>
        <v>30</v>
      </c>
      <c r="H45" s="27">
        <f>Tabelle58[[#This Row],[Doel]]</f>
        <v>40</v>
      </c>
      <c r="J45" s="46">
        <v>43831</v>
      </c>
      <c r="K45" s="47">
        <v>10000</v>
      </c>
      <c r="L45" s="47">
        <v>9000</v>
      </c>
      <c r="N45" s="46">
        <v>43831</v>
      </c>
      <c r="O45" s="27">
        <f>Tabelle5819[[#This Row],[Realisatie]]</f>
        <v>10000</v>
      </c>
      <c r="P45" s="27">
        <f>Tabelle5819[[#This Row],[Doel]]</f>
        <v>9000</v>
      </c>
      <c r="R45" s="46">
        <v>43831</v>
      </c>
      <c r="S45" s="47">
        <v>300</v>
      </c>
      <c r="T45" s="27">
        <v>500</v>
      </c>
      <c r="V45" s="46">
        <v>43831</v>
      </c>
      <c r="W45" s="27">
        <f>Tabelle5830[[#This Row],[Realisatie]]</f>
        <v>300</v>
      </c>
      <c r="X45" s="27">
        <f>Tabelle5830[[#This Row],[Doel]]</f>
        <v>500</v>
      </c>
      <c r="Z45" s="46">
        <v>43831</v>
      </c>
      <c r="AA45" s="39">
        <f>C85/AA5</f>
        <v>8.5</v>
      </c>
      <c r="AB45" s="27">
        <v>10</v>
      </c>
      <c r="AD45" s="46">
        <v>43831</v>
      </c>
      <c r="AE45" s="39">
        <f>Tabelle583041[[#This Row],[Realisatie]]</f>
        <v>8.5</v>
      </c>
      <c r="AF45" s="39">
        <f>Tabelle583041[[#This Row],[Doel]]</f>
        <v>10</v>
      </c>
    </row>
    <row r="46" spans="2:32" x14ac:dyDescent="0.35">
      <c r="B46" s="46">
        <v>43862</v>
      </c>
      <c r="C46" s="27">
        <v>40</v>
      </c>
      <c r="D46" s="27">
        <v>40</v>
      </c>
      <c r="F46" s="46">
        <v>43862</v>
      </c>
      <c r="G46" s="27">
        <f>G45+Tabelle58[[#This Row],[Realisatie]]</f>
        <v>70</v>
      </c>
      <c r="H46" s="27">
        <f>H45+Tabelle58[[#This Row],[Doel]]</f>
        <v>80</v>
      </c>
      <c r="J46" s="46">
        <v>43862</v>
      </c>
      <c r="K46" s="47">
        <v>14000</v>
      </c>
      <c r="L46" s="47">
        <v>11000</v>
      </c>
      <c r="N46" s="46">
        <v>43862</v>
      </c>
      <c r="O46" s="27">
        <f>O45+Tabelle5819[[#This Row],[Realisatie]]</f>
        <v>24000</v>
      </c>
      <c r="P46" s="27">
        <f>P45+Tabelle5819[[#This Row],[Doel]]</f>
        <v>20000</v>
      </c>
      <c r="R46" s="46">
        <v>43862</v>
      </c>
      <c r="S46" s="47">
        <v>350</v>
      </c>
      <c r="T46" s="27">
        <v>500</v>
      </c>
      <c r="V46" s="46">
        <v>43862</v>
      </c>
      <c r="W46" s="27">
        <f>W45+Tabelle5830[[#This Row],[Realisatie]]</f>
        <v>650</v>
      </c>
      <c r="X46" s="27">
        <f>X45+Tabelle5830[[#This Row],[Doel]]</f>
        <v>1000</v>
      </c>
      <c r="Z46" s="46">
        <v>43862</v>
      </c>
      <c r="AA46" s="39">
        <f t="shared" ref="AA46:AA80" si="3">C86/AA6</f>
        <v>5.7142857142857144</v>
      </c>
      <c r="AB46" s="27">
        <v>10</v>
      </c>
      <c r="AD46" s="46">
        <v>43862</v>
      </c>
      <c r="AE46" s="39">
        <f>AE45+Tabelle583041[[#This Row],[Realisatie]]</f>
        <v>14.214285714285715</v>
      </c>
      <c r="AF46" s="39">
        <f>AF45+Tabelle583041[[#This Row],[Doel]]</f>
        <v>20</v>
      </c>
    </row>
    <row r="47" spans="2:32" x14ac:dyDescent="0.35">
      <c r="B47" s="46">
        <v>43891</v>
      </c>
      <c r="C47" s="27">
        <v>40</v>
      </c>
      <c r="D47" s="27">
        <v>40</v>
      </c>
      <c r="F47" s="46">
        <v>43891</v>
      </c>
      <c r="G47" s="27">
        <f>G46+Tabelle58[[#This Row],[Realisatie]]</f>
        <v>110</v>
      </c>
      <c r="H47" s="27">
        <f>H46+Tabelle58[[#This Row],[Doel]]</f>
        <v>120</v>
      </c>
      <c r="J47" s="46">
        <v>43891</v>
      </c>
      <c r="K47" s="47">
        <v>8000</v>
      </c>
      <c r="L47" s="47">
        <v>12000</v>
      </c>
      <c r="N47" s="46">
        <v>43891</v>
      </c>
      <c r="O47" s="27">
        <f>O46+Tabelle5819[[#This Row],[Realisatie]]</f>
        <v>32000</v>
      </c>
      <c r="P47" s="27">
        <f>P46+Tabelle5819[[#This Row],[Doel]]</f>
        <v>32000</v>
      </c>
      <c r="R47" s="46">
        <v>43891</v>
      </c>
      <c r="S47" s="47">
        <v>200</v>
      </c>
      <c r="T47" s="27">
        <v>500</v>
      </c>
      <c r="V47" s="46">
        <v>43891</v>
      </c>
      <c r="W47" s="27">
        <f>W46+Tabelle5830[[#This Row],[Realisatie]]</f>
        <v>850</v>
      </c>
      <c r="X47" s="27">
        <f>X46+Tabelle5830[[#This Row],[Doel]]</f>
        <v>1500</v>
      </c>
      <c r="Z47" s="46">
        <v>43891</v>
      </c>
      <c r="AA47" s="39">
        <f t="shared" si="3"/>
        <v>2</v>
      </c>
      <c r="AB47" s="27">
        <v>10</v>
      </c>
      <c r="AD47" s="46">
        <v>43891</v>
      </c>
      <c r="AE47" s="39">
        <f>AE46+Tabelle583041[[#This Row],[Realisatie]]</f>
        <v>16.214285714285715</v>
      </c>
      <c r="AF47" s="39">
        <f>AF46+Tabelle583041[[#This Row],[Doel]]</f>
        <v>30</v>
      </c>
    </row>
    <row r="48" spans="2:32" x14ac:dyDescent="0.35">
      <c r="B48" s="46">
        <v>43922</v>
      </c>
      <c r="C48" s="27">
        <v>90</v>
      </c>
      <c r="D48" s="27">
        <v>70</v>
      </c>
      <c r="F48" s="46">
        <v>43922</v>
      </c>
      <c r="G48" s="27">
        <f>G47+Tabelle58[[#This Row],[Realisatie]]</f>
        <v>200</v>
      </c>
      <c r="H48" s="27">
        <f>H47+Tabelle58[[#This Row],[Doel]]</f>
        <v>190</v>
      </c>
      <c r="J48" s="46">
        <v>43922</v>
      </c>
      <c r="K48" s="47">
        <v>7000</v>
      </c>
      <c r="L48" s="47">
        <v>13000</v>
      </c>
      <c r="N48" s="46">
        <v>43922</v>
      </c>
      <c r="O48" s="27">
        <f>O47+Tabelle5819[[#This Row],[Realisatie]]</f>
        <v>39000</v>
      </c>
      <c r="P48" s="27">
        <f>P47+Tabelle5819[[#This Row],[Doel]]</f>
        <v>45000</v>
      </c>
      <c r="R48" s="46">
        <v>43922</v>
      </c>
      <c r="S48" s="47">
        <v>500</v>
      </c>
      <c r="T48" s="27">
        <v>500</v>
      </c>
      <c r="V48" s="46">
        <v>43922</v>
      </c>
      <c r="W48" s="27">
        <f>W47+Tabelle5830[[#This Row],[Realisatie]]</f>
        <v>1350</v>
      </c>
      <c r="X48" s="27">
        <f>X47+Tabelle5830[[#This Row],[Doel]]</f>
        <v>2000</v>
      </c>
      <c r="Z48" s="46">
        <v>43922</v>
      </c>
      <c r="AA48" s="39">
        <f t="shared" si="3"/>
        <v>8.6666666666666661</v>
      </c>
      <c r="AB48" s="27">
        <v>10</v>
      </c>
      <c r="AD48" s="46">
        <v>43922</v>
      </c>
      <c r="AE48" s="39">
        <f>AE47+Tabelle583041[[#This Row],[Realisatie]]</f>
        <v>24.88095238095238</v>
      </c>
      <c r="AF48" s="39">
        <f>AF47+Tabelle583041[[#This Row],[Doel]]</f>
        <v>40</v>
      </c>
    </row>
    <row r="49" spans="2:32" x14ac:dyDescent="0.35">
      <c r="B49" s="46">
        <v>43952</v>
      </c>
      <c r="C49" s="27">
        <v>110</v>
      </c>
      <c r="D49" s="27">
        <v>70</v>
      </c>
      <c r="F49" s="46">
        <v>43952</v>
      </c>
      <c r="G49" s="27">
        <f>G48+Tabelle58[[#This Row],[Realisatie]]</f>
        <v>310</v>
      </c>
      <c r="H49" s="27">
        <f>H48+Tabelle58[[#This Row],[Doel]]</f>
        <v>260</v>
      </c>
      <c r="J49" s="46">
        <v>43952</v>
      </c>
      <c r="K49" s="47">
        <v>7800</v>
      </c>
      <c r="L49" s="47">
        <v>14000</v>
      </c>
      <c r="N49" s="46">
        <v>43952</v>
      </c>
      <c r="O49" s="27">
        <f>O48+Tabelle5819[[#This Row],[Realisatie]]</f>
        <v>46800</v>
      </c>
      <c r="P49" s="27">
        <f>P48+Tabelle5819[[#This Row],[Doel]]</f>
        <v>59000</v>
      </c>
      <c r="R49" s="46">
        <v>43952</v>
      </c>
      <c r="S49" s="47">
        <v>1000</v>
      </c>
      <c r="T49" s="27">
        <v>500</v>
      </c>
      <c r="V49" s="46">
        <v>43952</v>
      </c>
      <c r="W49" s="27">
        <f>W48+Tabelle5830[[#This Row],[Realisatie]]</f>
        <v>2350</v>
      </c>
      <c r="X49" s="27">
        <f>X48+Tabelle5830[[#This Row],[Doel]]</f>
        <v>2500</v>
      </c>
      <c r="Z49" s="46">
        <v>43952</v>
      </c>
      <c r="AA49" s="39">
        <f t="shared" si="3"/>
        <v>20</v>
      </c>
      <c r="AB49" s="27">
        <v>10</v>
      </c>
      <c r="AD49" s="46">
        <v>43952</v>
      </c>
      <c r="AE49" s="39">
        <f>AE48+Tabelle583041[[#This Row],[Realisatie]]</f>
        <v>44.88095238095238</v>
      </c>
      <c r="AF49" s="39">
        <f>AF48+Tabelle583041[[#This Row],[Doel]]</f>
        <v>50</v>
      </c>
    </row>
    <row r="50" spans="2:32" x14ac:dyDescent="0.35">
      <c r="B50" s="46">
        <v>43983</v>
      </c>
      <c r="C50" s="27">
        <v>90</v>
      </c>
      <c r="D50" s="27">
        <v>70</v>
      </c>
      <c r="F50" s="46">
        <v>43983</v>
      </c>
      <c r="G50" s="27">
        <f>G49+Tabelle58[[#This Row],[Realisatie]]</f>
        <v>400</v>
      </c>
      <c r="H50" s="27">
        <f>H49+Tabelle58[[#This Row],[Doel]]</f>
        <v>330</v>
      </c>
      <c r="J50" s="46">
        <v>43983</v>
      </c>
      <c r="K50" s="47">
        <v>14000</v>
      </c>
      <c r="L50" s="47">
        <v>15000</v>
      </c>
      <c r="N50" s="46">
        <v>43983</v>
      </c>
      <c r="O50" s="27">
        <f>O49+Tabelle5819[[#This Row],[Realisatie]]</f>
        <v>60800</v>
      </c>
      <c r="P50" s="27">
        <f>P49+Tabelle5819[[#This Row],[Doel]]</f>
        <v>74000</v>
      </c>
      <c r="R50" s="46">
        <v>43983</v>
      </c>
      <c r="S50" s="47">
        <v>350</v>
      </c>
      <c r="T50" s="27">
        <v>500</v>
      </c>
      <c r="V50" s="46">
        <v>43983</v>
      </c>
      <c r="W50" s="47">
        <f>W49+Tabelle5830[[#This Row],[Realisatie]]</f>
        <v>2700</v>
      </c>
      <c r="X50" s="27">
        <f>X49+Tabelle5830[[#This Row],[Doel]]</f>
        <v>3000</v>
      </c>
      <c r="Z50" s="46">
        <v>43983</v>
      </c>
      <c r="AA50" s="39">
        <f t="shared" si="3"/>
        <v>6</v>
      </c>
      <c r="AB50" s="27">
        <v>10</v>
      </c>
      <c r="AD50" s="46">
        <v>43983</v>
      </c>
      <c r="AE50" s="39">
        <f>AE49+Tabelle583041[[#This Row],[Realisatie]]</f>
        <v>50.88095238095238</v>
      </c>
      <c r="AF50" s="39">
        <f>AF49+Tabelle583041[[#This Row],[Doel]]</f>
        <v>60</v>
      </c>
    </row>
    <row r="51" spans="2:32" x14ac:dyDescent="0.35">
      <c r="B51" s="46">
        <v>44013</v>
      </c>
      <c r="C51" s="27">
        <v>60</v>
      </c>
      <c r="D51" s="47">
        <v>70</v>
      </c>
      <c r="F51" s="46">
        <v>44013</v>
      </c>
      <c r="G51" s="27">
        <f>G50+Tabelle58[[#This Row],[Realisatie]]</f>
        <v>460</v>
      </c>
      <c r="H51" s="27">
        <f>H50+Tabelle58[[#This Row],[Doel]]</f>
        <v>400</v>
      </c>
      <c r="J51" s="46">
        <v>44013</v>
      </c>
      <c r="K51" s="47">
        <v>19000</v>
      </c>
      <c r="L51" s="47">
        <v>16000</v>
      </c>
      <c r="N51" s="46">
        <v>44013</v>
      </c>
      <c r="O51" s="27">
        <f>O50+Tabelle5819[[#This Row],[Realisatie]]</f>
        <v>79800</v>
      </c>
      <c r="P51" s="27">
        <f>P50+Tabelle5819[[#This Row],[Doel]]</f>
        <v>90000</v>
      </c>
      <c r="R51" s="46">
        <v>44013</v>
      </c>
      <c r="S51" s="47">
        <v>500</v>
      </c>
      <c r="T51" s="27">
        <v>500</v>
      </c>
      <c r="V51" s="46">
        <v>44013</v>
      </c>
      <c r="W51" s="47">
        <f>W50+Tabelle5830[[#This Row],[Realisatie]]</f>
        <v>3200</v>
      </c>
      <c r="X51" s="27">
        <f>X50+Tabelle5830[[#This Row],[Doel]]</f>
        <v>3500</v>
      </c>
      <c r="Z51" s="46">
        <v>44013</v>
      </c>
      <c r="AA51" s="39">
        <f t="shared" si="3"/>
        <v>3</v>
      </c>
      <c r="AB51" s="27">
        <v>10</v>
      </c>
      <c r="AD51" s="46">
        <v>44013</v>
      </c>
      <c r="AE51" s="39">
        <f>AE50+Tabelle583041[[#This Row],[Realisatie]]</f>
        <v>53.88095238095238</v>
      </c>
      <c r="AF51" s="39">
        <f>AF50+Tabelle583041[[#This Row],[Doel]]</f>
        <v>70</v>
      </c>
    </row>
    <row r="52" spans="2:32" x14ac:dyDescent="0.35">
      <c r="B52" s="46">
        <v>44044</v>
      </c>
      <c r="C52" s="27">
        <v>140</v>
      </c>
      <c r="D52" s="47">
        <v>90</v>
      </c>
      <c r="F52" s="46">
        <v>44044</v>
      </c>
      <c r="G52" s="27">
        <f>G51+Tabelle58[[#This Row],[Realisatie]]</f>
        <v>600</v>
      </c>
      <c r="H52" s="27">
        <f>H51+Tabelle58[[#This Row],[Doel]]</f>
        <v>490</v>
      </c>
      <c r="J52" s="46">
        <v>44044</v>
      </c>
      <c r="K52" s="47">
        <v>22000</v>
      </c>
      <c r="L52" s="47">
        <v>17000</v>
      </c>
      <c r="N52" s="46">
        <v>44044</v>
      </c>
      <c r="O52" s="27">
        <f>O51+Tabelle5819[[#This Row],[Realisatie]]</f>
        <v>101800</v>
      </c>
      <c r="P52" s="27">
        <f>P51+Tabelle5819[[#This Row],[Doel]]</f>
        <v>107000</v>
      </c>
      <c r="R52" s="46">
        <v>44044</v>
      </c>
      <c r="S52" s="47">
        <v>500</v>
      </c>
      <c r="T52" s="27">
        <v>500</v>
      </c>
      <c r="V52" s="46">
        <v>44044</v>
      </c>
      <c r="W52" s="47">
        <f>W51+Tabelle5830[[#This Row],[Realisatie]]</f>
        <v>3700</v>
      </c>
      <c r="X52" s="27">
        <f>X51+Tabelle5830[[#This Row],[Doel]]</f>
        <v>4000</v>
      </c>
      <c r="Z52" s="46">
        <v>44044</v>
      </c>
      <c r="AA52" s="39">
        <f t="shared" si="3"/>
        <v>-6</v>
      </c>
      <c r="AB52" s="27">
        <v>10</v>
      </c>
      <c r="AD52" s="46">
        <v>44044</v>
      </c>
      <c r="AE52" s="39">
        <f>AE51+Tabelle583041[[#This Row],[Realisatie]]</f>
        <v>47.88095238095238</v>
      </c>
      <c r="AF52" s="39">
        <f>AF51+Tabelle583041[[#This Row],[Doel]]</f>
        <v>80</v>
      </c>
    </row>
    <row r="53" spans="2:32" x14ac:dyDescent="0.35">
      <c r="B53" s="46">
        <v>44075</v>
      </c>
      <c r="C53" s="27">
        <v>160</v>
      </c>
      <c r="D53" s="47">
        <v>90</v>
      </c>
      <c r="F53" s="46">
        <v>44075</v>
      </c>
      <c r="G53" s="27">
        <f>G52+Tabelle58[[#This Row],[Realisatie]]</f>
        <v>760</v>
      </c>
      <c r="H53" s="27">
        <f>H52+Tabelle58[[#This Row],[Doel]]</f>
        <v>580</v>
      </c>
      <c r="J53" s="46">
        <v>44075</v>
      </c>
      <c r="K53" s="47">
        <v>23000</v>
      </c>
      <c r="L53" s="47">
        <v>18000</v>
      </c>
      <c r="N53" s="46">
        <v>44075</v>
      </c>
      <c r="O53" s="27">
        <f>O52+Tabelle5819[[#This Row],[Realisatie]]</f>
        <v>124800</v>
      </c>
      <c r="P53" s="27">
        <f>P52+Tabelle5819[[#This Row],[Doel]]</f>
        <v>125000</v>
      </c>
      <c r="R53" s="46">
        <v>44075</v>
      </c>
      <c r="S53" s="47">
        <v>1000</v>
      </c>
      <c r="T53" s="27">
        <v>500</v>
      </c>
      <c r="V53" s="46">
        <v>44075</v>
      </c>
      <c r="W53" s="47">
        <f>W52+Tabelle5830[[#This Row],[Realisatie]]</f>
        <v>4700</v>
      </c>
      <c r="X53" s="27">
        <f>X52+Tabelle5830[[#This Row],[Doel]]</f>
        <v>4500</v>
      </c>
      <c r="Z53" s="46">
        <v>44075</v>
      </c>
      <c r="AA53" s="39">
        <f t="shared" si="3"/>
        <v>6.75</v>
      </c>
      <c r="AB53" s="27">
        <v>10</v>
      </c>
      <c r="AD53" s="46">
        <v>44075</v>
      </c>
      <c r="AE53" s="39">
        <f>AE52+Tabelle583041[[#This Row],[Realisatie]]</f>
        <v>54.63095238095238</v>
      </c>
      <c r="AF53" s="39">
        <f>AF52+Tabelle583041[[#This Row],[Doel]]</f>
        <v>90</v>
      </c>
    </row>
    <row r="54" spans="2:32" x14ac:dyDescent="0.35">
      <c r="B54" s="46">
        <v>44105</v>
      </c>
      <c r="C54" s="27">
        <v>200</v>
      </c>
      <c r="D54" s="47">
        <v>90</v>
      </c>
      <c r="F54" s="46">
        <v>44105</v>
      </c>
      <c r="G54" s="27">
        <f>G53+Tabelle58[[#This Row],[Realisatie]]</f>
        <v>960</v>
      </c>
      <c r="H54" s="27">
        <f>H53+Tabelle58[[#This Row],[Doel]]</f>
        <v>670</v>
      </c>
      <c r="J54" s="46">
        <v>44105</v>
      </c>
      <c r="K54" s="47">
        <v>24000</v>
      </c>
      <c r="L54" s="47">
        <v>19000</v>
      </c>
      <c r="N54" s="46">
        <v>44105</v>
      </c>
      <c r="O54" s="27">
        <f>O53+Tabelle5819[[#This Row],[Realisatie]]</f>
        <v>148800</v>
      </c>
      <c r="P54" s="27">
        <f>P53+Tabelle5819[[#This Row],[Doel]]</f>
        <v>144000</v>
      </c>
      <c r="R54" s="46">
        <v>44105</v>
      </c>
      <c r="S54" s="47">
        <v>1400</v>
      </c>
      <c r="T54" s="27">
        <v>500</v>
      </c>
      <c r="V54" s="46">
        <v>44105</v>
      </c>
      <c r="W54" s="47">
        <f>W53+Tabelle5830[[#This Row],[Realisatie]]</f>
        <v>6100</v>
      </c>
      <c r="X54" s="27">
        <f>X53+Tabelle5830[[#This Row],[Doel]]</f>
        <v>5000</v>
      </c>
      <c r="Z54" s="46">
        <v>44105</v>
      </c>
      <c r="AA54" s="39">
        <f t="shared" si="3"/>
        <v>0.2</v>
      </c>
      <c r="AB54" s="27">
        <v>10</v>
      </c>
      <c r="AD54" s="46">
        <v>44105</v>
      </c>
      <c r="AE54" s="39">
        <f>AE53+Tabelle583041[[#This Row],[Realisatie]]</f>
        <v>54.830952380952382</v>
      </c>
      <c r="AF54" s="39">
        <f>AF53+Tabelle583041[[#This Row],[Doel]]</f>
        <v>100</v>
      </c>
    </row>
    <row r="55" spans="2:32" x14ac:dyDescent="0.35">
      <c r="B55" s="46">
        <v>44136</v>
      </c>
      <c r="C55" s="27">
        <v>200</v>
      </c>
      <c r="D55" s="47">
        <v>120</v>
      </c>
      <c r="F55" s="46">
        <v>44136</v>
      </c>
      <c r="G55" s="27">
        <f>G54+Tabelle58[[#This Row],[Realisatie]]</f>
        <v>1160</v>
      </c>
      <c r="H55" s="27">
        <f>H54+Tabelle58[[#This Row],[Doel]]</f>
        <v>790</v>
      </c>
      <c r="J55" s="46">
        <v>44136</v>
      </c>
      <c r="K55" s="47">
        <v>20000</v>
      </c>
      <c r="L55" s="47">
        <v>20000</v>
      </c>
      <c r="N55" s="46">
        <v>44136</v>
      </c>
      <c r="O55" s="27">
        <f>O54+Tabelle5819[[#This Row],[Realisatie]]</f>
        <v>168800</v>
      </c>
      <c r="P55" s="27">
        <f>P54+Tabelle5819[[#This Row],[Doel]]</f>
        <v>164000</v>
      </c>
      <c r="R55" s="46">
        <v>44136</v>
      </c>
      <c r="S55" s="47">
        <v>1800</v>
      </c>
      <c r="T55" s="27">
        <v>500</v>
      </c>
      <c r="V55" s="46">
        <v>44136</v>
      </c>
      <c r="W55" s="47">
        <f>W54+Tabelle5830[[#This Row],[Realisatie]]</f>
        <v>7900</v>
      </c>
      <c r="X55" s="27">
        <f>X54+Tabelle5830[[#This Row],[Doel]]</f>
        <v>5500</v>
      </c>
      <c r="Z55" s="46">
        <v>44136</v>
      </c>
      <c r="AA55" s="39">
        <f t="shared" si="3"/>
        <v>7.1428571428571432</v>
      </c>
      <c r="AB55" s="27">
        <v>10</v>
      </c>
      <c r="AD55" s="46">
        <v>44136</v>
      </c>
      <c r="AE55" s="39">
        <f>AE54+Tabelle583041[[#This Row],[Realisatie]]</f>
        <v>61.973809523809528</v>
      </c>
      <c r="AF55" s="39">
        <f>AF54+Tabelle583041[[#This Row],[Doel]]</f>
        <v>110</v>
      </c>
    </row>
    <row r="56" spans="2:32" x14ac:dyDescent="0.35">
      <c r="B56" s="46">
        <v>44166</v>
      </c>
      <c r="C56" s="27">
        <v>240</v>
      </c>
      <c r="D56" s="47">
        <v>120</v>
      </c>
      <c r="F56" s="46">
        <v>44166</v>
      </c>
      <c r="G56" s="47">
        <f>G55+Tabelle58[[#This Row],[Realisatie]]</f>
        <v>1400</v>
      </c>
      <c r="H56" s="47">
        <f>H55+Tabelle58[[#This Row],[Doel]]</f>
        <v>910</v>
      </c>
      <c r="J56" s="46">
        <v>44166</v>
      </c>
      <c r="K56" s="47">
        <v>23000</v>
      </c>
      <c r="L56" s="47">
        <v>21000</v>
      </c>
      <c r="N56" s="46">
        <v>44166</v>
      </c>
      <c r="O56" s="47">
        <f>O55+Tabelle5819[[#This Row],[Realisatie]]</f>
        <v>191800</v>
      </c>
      <c r="P56" s="47">
        <f>P55+Tabelle5819[[#This Row],[Doel]]</f>
        <v>185000</v>
      </c>
      <c r="R56" s="46">
        <v>44166</v>
      </c>
      <c r="S56" s="47">
        <v>1500</v>
      </c>
      <c r="T56" s="27">
        <v>500</v>
      </c>
      <c r="V56" s="46">
        <v>44166</v>
      </c>
      <c r="W56" s="47">
        <f>W55+Tabelle5830[[#This Row],[Realisatie]]</f>
        <v>9400</v>
      </c>
      <c r="X56" s="27">
        <f>X55+Tabelle5830[[#This Row],[Doel]]</f>
        <v>6000</v>
      </c>
      <c r="Z56" s="46">
        <v>44166</v>
      </c>
      <c r="AA56" s="39">
        <f t="shared" si="3"/>
        <v>12</v>
      </c>
      <c r="AB56" s="27">
        <v>10</v>
      </c>
      <c r="AD56" s="46">
        <v>44166</v>
      </c>
      <c r="AE56" s="39">
        <f>AE55+Tabelle583041[[#This Row],[Realisatie]]</f>
        <v>73.973809523809535</v>
      </c>
      <c r="AF56" s="39">
        <f>AF55+Tabelle583041[[#This Row],[Doel]]</f>
        <v>120</v>
      </c>
    </row>
    <row r="57" spans="2:32" x14ac:dyDescent="0.35">
      <c r="B57" s="46">
        <v>44197</v>
      </c>
      <c r="C57" s="47">
        <f>C56*1.1</f>
        <v>264</v>
      </c>
      <c r="D57" s="47">
        <f>Tabelle58[[#This Row],[Realisatie]]*0.95</f>
        <v>250.79999999999998</v>
      </c>
      <c r="F57" s="46">
        <v>44197</v>
      </c>
      <c r="G57" s="47">
        <f>G56+Tabelle58[[#This Row],[Realisatie]]</f>
        <v>1664</v>
      </c>
      <c r="H57" s="47">
        <f>H56+Tabelle58[[#This Row],[Doel]]</f>
        <v>1160.8</v>
      </c>
      <c r="J57" s="46">
        <v>44197</v>
      </c>
      <c r="K57" s="47">
        <v>25906.060606060601</v>
      </c>
      <c r="L57" s="47">
        <v>22166.666666666701</v>
      </c>
      <c r="N57" s="46">
        <v>44197</v>
      </c>
      <c r="O57" s="47">
        <f>O56+Tabelle5819[[#This Row],[Realisatie]]</f>
        <v>217706.06060606061</v>
      </c>
      <c r="P57" s="47">
        <f>P56+Tabelle5819[[#This Row],[Doel]]</f>
        <v>207166.66666666669</v>
      </c>
      <c r="R57" s="46">
        <v>44197</v>
      </c>
      <c r="S57" s="47">
        <v>1596.9696969696899</v>
      </c>
      <c r="T57" s="27">
        <v>1000</v>
      </c>
      <c r="V57" s="46">
        <v>44197</v>
      </c>
      <c r="W57" s="47">
        <f>W56+Tabelle5830[[#This Row],[Realisatie]]</f>
        <v>10996.969696969691</v>
      </c>
      <c r="X57" s="27">
        <f>X56+Tabelle5830[[#This Row],[Doel]]</f>
        <v>7000</v>
      </c>
      <c r="Z57" s="46">
        <v>44197</v>
      </c>
      <c r="AA57" s="39">
        <f t="shared" si="3"/>
        <v>15.84</v>
      </c>
      <c r="AB57" s="27">
        <v>10</v>
      </c>
      <c r="AD57" s="46">
        <v>44197</v>
      </c>
      <c r="AE57" s="39">
        <f>AE56+Tabelle583041[[#This Row],[Realisatie]]</f>
        <v>89.813809523809539</v>
      </c>
      <c r="AF57" s="39">
        <f>AF56+Tabelle583041[[#This Row],[Doel]]</f>
        <v>130</v>
      </c>
    </row>
    <row r="58" spans="2:32" x14ac:dyDescent="0.35">
      <c r="B58" s="46">
        <v>44228</v>
      </c>
      <c r="C58" s="47">
        <f t="shared" ref="C58:C63" si="4">C57*1.1</f>
        <v>290.40000000000003</v>
      </c>
      <c r="D58" s="47">
        <v>275.88</v>
      </c>
      <c r="F58" s="46">
        <v>44228</v>
      </c>
      <c r="G58" s="47">
        <f>G57+Tabelle58[[#This Row],[Realisatie]]</f>
        <v>1954.4</v>
      </c>
      <c r="H58" s="47">
        <f>H57+Tabelle58[[#This Row],[Doel]]</f>
        <v>1436.6799999999998</v>
      </c>
      <c r="J58" s="46">
        <v>44228</v>
      </c>
      <c r="K58" s="47">
        <v>27432.634032634</v>
      </c>
      <c r="L58" s="47">
        <v>23205.1282051282</v>
      </c>
      <c r="N58" s="46">
        <v>44228</v>
      </c>
      <c r="O58" s="47">
        <f>O57+Tabelle5819[[#This Row],[Realisatie]]</f>
        <v>245138.69463869461</v>
      </c>
      <c r="P58" s="47">
        <f>P57+Tabelle5819[[#This Row],[Doel]]</f>
        <v>230371.79487179487</v>
      </c>
      <c r="R58" s="46">
        <v>44228</v>
      </c>
      <c r="S58" s="47">
        <v>1722.1445221445199</v>
      </c>
      <c r="T58" s="27">
        <v>1000</v>
      </c>
      <c r="V58" s="46">
        <v>44228</v>
      </c>
      <c r="W58" s="47">
        <f>W57+Tabelle5830[[#This Row],[Realisatie]]</f>
        <v>12719.11421911421</v>
      </c>
      <c r="X58" s="27">
        <f>X57+Tabelle5830[[#This Row],[Doel]]</f>
        <v>8000</v>
      </c>
      <c r="Z58" s="46">
        <v>44228</v>
      </c>
      <c r="AA58" s="39">
        <f t="shared" si="3"/>
        <v>17.424000000000003</v>
      </c>
      <c r="AB58" s="27">
        <v>10</v>
      </c>
      <c r="AD58" s="46">
        <v>44228</v>
      </c>
      <c r="AE58" s="39">
        <f>AE57+Tabelle583041[[#This Row],[Realisatie]]</f>
        <v>107.23780952380955</v>
      </c>
      <c r="AF58" s="39">
        <f>AF57+Tabelle583041[[#This Row],[Doel]]</f>
        <v>140</v>
      </c>
    </row>
    <row r="59" spans="2:32" x14ac:dyDescent="0.35">
      <c r="B59" s="46">
        <v>44256</v>
      </c>
      <c r="C59" s="47">
        <f t="shared" si="4"/>
        <v>319.44000000000005</v>
      </c>
      <c r="D59" s="47">
        <v>303.46800000000002</v>
      </c>
      <c r="F59" s="46">
        <v>44256</v>
      </c>
      <c r="G59" s="47">
        <f>G58+Tabelle58[[#This Row],[Realisatie]]</f>
        <v>2273.84</v>
      </c>
      <c r="H59" s="47">
        <f>H58+Tabelle58[[#This Row],[Doel]]</f>
        <v>1740.1479999999999</v>
      </c>
      <c r="J59" s="46">
        <v>44256</v>
      </c>
      <c r="K59" s="47">
        <v>28959.207459207501</v>
      </c>
      <c r="L59" s="47">
        <v>24243.589743589699</v>
      </c>
      <c r="N59" s="46">
        <v>44256</v>
      </c>
      <c r="O59" s="47">
        <f>O58+Tabelle5819[[#This Row],[Realisatie]]</f>
        <v>274097.90209790209</v>
      </c>
      <c r="P59" s="47">
        <f>P58+Tabelle5819[[#This Row],[Doel]]</f>
        <v>254615.38461538457</v>
      </c>
      <c r="R59" s="46">
        <v>44256</v>
      </c>
      <c r="S59" s="47">
        <v>1847.3193473193401</v>
      </c>
      <c r="T59" s="27">
        <v>1000</v>
      </c>
      <c r="V59" s="46">
        <v>44256</v>
      </c>
      <c r="W59" s="47">
        <f>W58+Tabelle5830[[#This Row],[Realisatie]]</f>
        <v>14566.43356643355</v>
      </c>
      <c r="X59" s="27">
        <f>X58+Tabelle5830[[#This Row],[Doel]]</f>
        <v>9000</v>
      </c>
      <c r="Z59" s="46">
        <v>44256</v>
      </c>
      <c r="AA59" s="39">
        <f t="shared" si="3"/>
        <v>19.166400000000003</v>
      </c>
      <c r="AB59" s="27">
        <v>10</v>
      </c>
      <c r="AD59" s="46">
        <v>44256</v>
      </c>
      <c r="AE59" s="39">
        <f>AE58+Tabelle583041[[#This Row],[Realisatie]]</f>
        <v>126.40420952380956</v>
      </c>
      <c r="AF59" s="39">
        <f>AF58+Tabelle583041[[#This Row],[Doel]]</f>
        <v>150</v>
      </c>
    </row>
    <row r="60" spans="2:32" x14ac:dyDescent="0.35">
      <c r="B60" s="46">
        <v>44287</v>
      </c>
      <c r="C60" s="47">
        <f t="shared" si="4"/>
        <v>351.38400000000007</v>
      </c>
      <c r="D60" s="47">
        <v>333.81480000000005</v>
      </c>
      <c r="F60" s="46">
        <v>44287</v>
      </c>
      <c r="G60" s="47">
        <f>G59+Tabelle58[[#This Row],[Realisatie]]</f>
        <v>2625.2240000000002</v>
      </c>
      <c r="H60" s="47">
        <f>H59+Tabelle58[[#This Row],[Doel]]</f>
        <v>2073.9627999999998</v>
      </c>
      <c r="J60" s="46">
        <v>44287</v>
      </c>
      <c r="K60" s="47">
        <v>30485.7808857809</v>
      </c>
      <c r="L60" s="47">
        <v>25282.051282051299</v>
      </c>
      <c r="N60" s="46">
        <v>44287</v>
      </c>
      <c r="O60" s="47">
        <f>O59+Tabelle5819[[#This Row],[Realisatie]]</f>
        <v>304583.68298368296</v>
      </c>
      <c r="P60" s="47">
        <f>P59+Tabelle5819[[#This Row],[Doel]]</f>
        <v>279897.43589743588</v>
      </c>
      <c r="R60" s="46">
        <v>44287</v>
      </c>
      <c r="S60" s="47">
        <v>1972.49417249418</v>
      </c>
      <c r="T60" s="27">
        <v>1000</v>
      </c>
      <c r="V60" s="46">
        <v>44287</v>
      </c>
      <c r="W60" s="47">
        <f>W59+Tabelle5830[[#This Row],[Realisatie]]</f>
        <v>16538.92773892773</v>
      </c>
      <c r="X60" s="27">
        <f>X59+Tabelle5830[[#This Row],[Doel]]</f>
        <v>10000</v>
      </c>
      <c r="Z60" s="46">
        <v>44287</v>
      </c>
      <c r="AA60" s="39">
        <f t="shared" si="3"/>
        <v>21.083040000000011</v>
      </c>
      <c r="AB60" s="27">
        <v>10</v>
      </c>
      <c r="AD60" s="46">
        <v>44287</v>
      </c>
      <c r="AE60" s="39">
        <f>AE59+Tabelle583041[[#This Row],[Realisatie]]</f>
        <v>147.48724952380957</v>
      </c>
      <c r="AF60" s="39">
        <f>AF59+Tabelle583041[[#This Row],[Doel]]</f>
        <v>160</v>
      </c>
    </row>
    <row r="61" spans="2:32" x14ac:dyDescent="0.35">
      <c r="B61" s="46">
        <v>44317</v>
      </c>
      <c r="C61" s="47">
        <f t="shared" si="4"/>
        <v>386.52240000000012</v>
      </c>
      <c r="D61" s="47">
        <v>367.19628000000012</v>
      </c>
      <c r="F61" s="46">
        <v>44317</v>
      </c>
      <c r="G61" s="47">
        <f>G60+Tabelle58[[#This Row],[Realisatie]]</f>
        <v>3011.7464000000004</v>
      </c>
      <c r="H61" s="47">
        <f>H60+Tabelle58[[#This Row],[Doel]]</f>
        <v>2441.1590799999999</v>
      </c>
      <c r="J61" s="46">
        <v>44317</v>
      </c>
      <c r="K61" s="47">
        <v>32012.354312354299</v>
      </c>
      <c r="L61" s="47">
        <v>26320.512820512798</v>
      </c>
      <c r="N61" s="46">
        <v>44317</v>
      </c>
      <c r="O61" s="47">
        <f>O60+Tabelle5819[[#This Row],[Realisatie]]</f>
        <v>336596.03729603725</v>
      </c>
      <c r="P61" s="47">
        <f>P60+Tabelle5819[[#This Row],[Doel]]</f>
        <v>306217.94871794869</v>
      </c>
      <c r="R61" s="46">
        <v>44317</v>
      </c>
      <c r="S61" s="47">
        <v>2097.66899766899</v>
      </c>
      <c r="T61" s="27">
        <v>1000</v>
      </c>
      <c r="V61" s="46">
        <v>44317</v>
      </c>
      <c r="W61" s="47">
        <f>W60+Tabelle5830[[#This Row],[Realisatie]]</f>
        <v>18636.596736596719</v>
      </c>
      <c r="X61" s="27">
        <f>X60+Tabelle5830[[#This Row],[Doel]]</f>
        <v>11000</v>
      </c>
      <c r="Z61" s="46">
        <v>44317</v>
      </c>
      <c r="AA61" s="39">
        <f t="shared" si="3"/>
        <v>23.191344000000008</v>
      </c>
      <c r="AB61" s="27">
        <v>10</v>
      </c>
      <c r="AD61" s="46">
        <v>44317</v>
      </c>
      <c r="AE61" s="39">
        <f>AE60+Tabelle583041[[#This Row],[Realisatie]]</f>
        <v>170.67859352380958</v>
      </c>
      <c r="AF61" s="39">
        <f>AF60+Tabelle583041[[#This Row],[Doel]]</f>
        <v>170</v>
      </c>
    </row>
    <row r="62" spans="2:32" x14ac:dyDescent="0.35">
      <c r="B62" s="46">
        <v>44348</v>
      </c>
      <c r="C62" s="47">
        <f t="shared" si="4"/>
        <v>425.17464000000018</v>
      </c>
      <c r="D62" s="47">
        <v>403.91590800000017</v>
      </c>
      <c r="F62" s="46">
        <v>44348</v>
      </c>
      <c r="G62" s="47">
        <f>G61+Tabelle58[[#This Row],[Realisatie]]</f>
        <v>3436.9210400000006</v>
      </c>
      <c r="H62" s="47">
        <f>H61+Tabelle58[[#This Row],[Doel]]</f>
        <v>2845.0749880000003</v>
      </c>
      <c r="J62" s="46">
        <v>44348</v>
      </c>
      <c r="K62" s="47">
        <v>33538.9277389278</v>
      </c>
      <c r="L62" s="47">
        <v>27358.974358974399</v>
      </c>
      <c r="N62" s="46">
        <v>44348</v>
      </c>
      <c r="O62" s="47">
        <f>O61+Tabelle5819[[#This Row],[Realisatie]]</f>
        <v>370134.96503496508</v>
      </c>
      <c r="P62" s="47">
        <f>P61+Tabelle5819[[#This Row],[Doel]]</f>
        <v>333576.92307692306</v>
      </c>
      <c r="R62" s="46">
        <v>44348</v>
      </c>
      <c r="S62" s="47">
        <v>2222.8438228438199</v>
      </c>
      <c r="T62" s="27">
        <v>1000</v>
      </c>
      <c r="V62" s="46">
        <v>44348</v>
      </c>
      <c r="W62" s="47">
        <f>W61+Tabelle5830[[#This Row],[Realisatie]]</f>
        <v>20859.44055944054</v>
      </c>
      <c r="X62" s="27">
        <f>X61+Tabelle5830[[#This Row],[Doel]]</f>
        <v>12000</v>
      </c>
      <c r="Z62" s="46">
        <v>44348</v>
      </c>
      <c r="AA62" s="39">
        <f t="shared" si="3"/>
        <v>25.510478400000011</v>
      </c>
      <c r="AB62" s="27">
        <v>10</v>
      </c>
      <c r="AD62" s="46">
        <v>44348</v>
      </c>
      <c r="AE62" s="39">
        <f>AE61+Tabelle583041[[#This Row],[Realisatie]]</f>
        <v>196.18907192380959</v>
      </c>
      <c r="AF62" s="39">
        <f>AF61+Tabelle583041[[#This Row],[Doel]]</f>
        <v>180</v>
      </c>
    </row>
    <row r="63" spans="2:32" x14ac:dyDescent="0.35">
      <c r="B63" s="46">
        <v>44378</v>
      </c>
      <c r="C63" s="47">
        <f t="shared" si="4"/>
        <v>467.69210400000026</v>
      </c>
      <c r="D63" s="47">
        <v>444.30749880000025</v>
      </c>
      <c r="F63" s="46">
        <v>44378</v>
      </c>
      <c r="G63" s="47">
        <f>G62+Tabelle58[[#This Row],[Realisatie]]</f>
        <v>3904.6131440000008</v>
      </c>
      <c r="H63" s="47">
        <f>H62+Tabelle58[[#This Row],[Doel]]</f>
        <v>3289.3824868000006</v>
      </c>
      <c r="J63" s="46">
        <v>44378</v>
      </c>
      <c r="K63" s="47">
        <v>35065.501165501199</v>
      </c>
      <c r="L63" s="47">
        <v>28397.435897435898</v>
      </c>
      <c r="N63" s="46">
        <v>44378</v>
      </c>
      <c r="O63" s="47">
        <f>O62+Tabelle5819[[#This Row],[Realisatie]]</f>
        <v>405200.46620046627</v>
      </c>
      <c r="P63" s="47">
        <f>P62+Tabelle5819[[#This Row],[Doel]]</f>
        <v>361974.35897435894</v>
      </c>
      <c r="R63" s="46">
        <v>44378</v>
      </c>
      <c r="S63" s="47">
        <v>2348.0186480186399</v>
      </c>
      <c r="T63" s="27">
        <v>1000</v>
      </c>
      <c r="V63" s="46">
        <v>44378</v>
      </c>
      <c r="W63" s="47">
        <f>W62+Tabelle5830[[#This Row],[Realisatie]]</f>
        <v>23207.459207459178</v>
      </c>
      <c r="X63" s="27">
        <f>X62+Tabelle5830[[#This Row],[Doel]]</f>
        <v>13000</v>
      </c>
      <c r="Z63" s="46">
        <v>44378</v>
      </c>
      <c r="AA63" s="39">
        <f t="shared" si="3"/>
        <v>28.061526240000013</v>
      </c>
      <c r="AB63" s="27">
        <v>10</v>
      </c>
      <c r="AD63" s="46">
        <v>44378</v>
      </c>
      <c r="AE63" s="39">
        <f>AE62+Tabelle583041[[#This Row],[Realisatie]]</f>
        <v>224.2505981638096</v>
      </c>
      <c r="AF63" s="39">
        <f>AF62+Tabelle583041[[#This Row],[Doel]]</f>
        <v>190</v>
      </c>
    </row>
    <row r="64" spans="2:32" x14ac:dyDescent="0.35">
      <c r="B64" s="46">
        <v>44409</v>
      </c>
      <c r="C64" s="47"/>
      <c r="D64" s="47">
        <v>488.73824868000031</v>
      </c>
      <c r="F64" s="46">
        <v>44409</v>
      </c>
      <c r="G64" s="47">
        <f>G63+Tabelle58[[#This Row],[Realisatie]]</f>
        <v>3904.6131440000008</v>
      </c>
      <c r="H64" s="47">
        <f>H63+Tabelle58[[#This Row],[Doel]]</f>
        <v>3778.1207354800008</v>
      </c>
      <c r="J64" s="46">
        <v>44409</v>
      </c>
      <c r="K64" s="47"/>
      <c r="L64" s="47">
        <v>29435.897435897401</v>
      </c>
      <c r="N64" s="46">
        <v>44409</v>
      </c>
      <c r="O64" s="47">
        <f>O63+Tabelle5819[[#This Row],[Realisatie]]</f>
        <v>405200.46620046627</v>
      </c>
      <c r="P64" s="47">
        <f>P63+Tabelle5819[[#This Row],[Doel]]</f>
        <v>391410.25641025632</v>
      </c>
      <c r="R64" s="46">
        <v>44409</v>
      </c>
      <c r="S64" s="47"/>
      <c r="T64" s="27">
        <v>1000</v>
      </c>
      <c r="V64" s="46">
        <v>44409</v>
      </c>
      <c r="W64" s="47">
        <f>W63+Tabelle5830[[#This Row],[Realisatie]]</f>
        <v>23207.459207459178</v>
      </c>
      <c r="X64" s="27">
        <f>X63+Tabelle5830[[#This Row],[Doel]]</f>
        <v>14000</v>
      </c>
      <c r="Z64" s="46">
        <v>44409</v>
      </c>
      <c r="AA64" s="39" t="e">
        <f t="shared" si="3"/>
        <v>#DIV/0!</v>
      </c>
      <c r="AB64" s="27">
        <v>10</v>
      </c>
      <c r="AD64" s="46">
        <v>44409</v>
      </c>
      <c r="AE64" s="39" t="e">
        <f>AE63+Tabelle583041[[#This Row],[Realisatie]]</f>
        <v>#DIV/0!</v>
      </c>
      <c r="AF64" s="39">
        <f>AF63+Tabelle583041[[#This Row],[Doel]]</f>
        <v>200</v>
      </c>
    </row>
    <row r="65" spans="2:32" x14ac:dyDescent="0.35">
      <c r="B65" s="46">
        <v>44440</v>
      </c>
      <c r="C65" s="47"/>
      <c r="D65" s="47">
        <v>537.61207354800035</v>
      </c>
      <c r="F65" s="46">
        <v>44440</v>
      </c>
      <c r="G65" s="47">
        <f>G64+Tabelle58[[#This Row],[Realisatie]]</f>
        <v>3904.6131440000008</v>
      </c>
      <c r="H65" s="47">
        <f>H64+Tabelle58[[#This Row],[Doel]]</f>
        <v>4315.7328090280007</v>
      </c>
      <c r="J65" s="46">
        <v>44440</v>
      </c>
      <c r="K65" s="47"/>
      <c r="L65" s="47">
        <v>30474.358974358998</v>
      </c>
      <c r="N65" s="46">
        <v>44440</v>
      </c>
      <c r="O65" s="47">
        <f>O64+Tabelle5819[[#This Row],[Realisatie]]</f>
        <v>405200.46620046627</v>
      </c>
      <c r="P65" s="47">
        <f>P64+Tabelle5819[[#This Row],[Doel]]</f>
        <v>421884.61538461532</v>
      </c>
      <c r="R65" s="46">
        <v>44440</v>
      </c>
      <c r="S65" s="47"/>
      <c r="T65" s="27">
        <v>1000</v>
      </c>
      <c r="V65" s="46">
        <v>44440</v>
      </c>
      <c r="W65" s="47">
        <f>W64+Tabelle5830[[#This Row],[Realisatie]]</f>
        <v>23207.459207459178</v>
      </c>
      <c r="X65" s="27">
        <f>X64+Tabelle5830[[#This Row],[Doel]]</f>
        <v>15000</v>
      </c>
      <c r="Z65" s="46">
        <v>44440</v>
      </c>
      <c r="AA65" s="39" t="e">
        <f t="shared" si="3"/>
        <v>#DIV/0!</v>
      </c>
      <c r="AB65" s="27">
        <v>10</v>
      </c>
      <c r="AD65" s="46">
        <v>44440</v>
      </c>
      <c r="AE65" s="39" t="e">
        <f>AE64+Tabelle583041[[#This Row],[Realisatie]]</f>
        <v>#DIV/0!</v>
      </c>
      <c r="AF65" s="39">
        <f>AF64+Tabelle583041[[#This Row],[Doel]]</f>
        <v>210</v>
      </c>
    </row>
    <row r="66" spans="2:32" x14ac:dyDescent="0.35">
      <c r="B66" s="46">
        <v>44470</v>
      </c>
      <c r="C66" s="47"/>
      <c r="D66" s="47">
        <v>591.37328090280039</v>
      </c>
      <c r="F66" s="46">
        <v>44470</v>
      </c>
      <c r="G66" s="47">
        <f>G65+Tabelle58[[#This Row],[Realisatie]]</f>
        <v>3904.6131440000008</v>
      </c>
      <c r="H66" s="47">
        <f>H65+Tabelle58[[#This Row],[Doel]]</f>
        <v>4907.1060899308013</v>
      </c>
      <c r="J66" s="46">
        <v>44470</v>
      </c>
      <c r="K66" s="47"/>
      <c r="L66" s="47">
        <v>31512.820512820501</v>
      </c>
      <c r="N66" s="46">
        <v>44470</v>
      </c>
      <c r="O66" s="47">
        <f>O65+Tabelle5819[[#This Row],[Realisatie]]</f>
        <v>405200.46620046627</v>
      </c>
      <c r="P66" s="47">
        <f>P65+Tabelle5819[[#This Row],[Doel]]</f>
        <v>453397.43589743582</v>
      </c>
      <c r="R66" s="46">
        <v>44470</v>
      </c>
      <c r="S66" s="47"/>
      <c r="T66" s="27">
        <v>1000</v>
      </c>
      <c r="V66" s="46">
        <v>44470</v>
      </c>
      <c r="W66" s="47">
        <f>W65+Tabelle5830[[#This Row],[Realisatie]]</f>
        <v>23207.459207459178</v>
      </c>
      <c r="X66" s="27">
        <f>X65+Tabelle5830[[#This Row],[Doel]]</f>
        <v>16000</v>
      </c>
      <c r="Z66" s="46">
        <v>44470</v>
      </c>
      <c r="AA66" s="39" t="e">
        <f t="shared" si="3"/>
        <v>#DIV/0!</v>
      </c>
      <c r="AB66" s="27">
        <v>10</v>
      </c>
      <c r="AD66" s="46">
        <v>44470</v>
      </c>
      <c r="AE66" s="39" t="e">
        <f>AE65+Tabelle583041[[#This Row],[Realisatie]]</f>
        <v>#DIV/0!</v>
      </c>
      <c r="AF66" s="39">
        <f>AF65+Tabelle583041[[#This Row],[Doel]]</f>
        <v>220</v>
      </c>
    </row>
    <row r="67" spans="2:32" x14ac:dyDescent="0.35">
      <c r="B67" s="46">
        <v>44501</v>
      </c>
      <c r="C67" s="47"/>
      <c r="D67" s="47">
        <v>650.5106089930805</v>
      </c>
      <c r="F67" s="46">
        <v>44501</v>
      </c>
      <c r="G67" s="47">
        <f>G66+Tabelle58[[#This Row],[Realisatie]]</f>
        <v>3904.6131440000008</v>
      </c>
      <c r="H67" s="47">
        <f>H66+Tabelle58[[#This Row],[Doel]]</f>
        <v>5557.6166989238818</v>
      </c>
      <c r="J67" s="46">
        <v>44501</v>
      </c>
      <c r="K67" s="47"/>
      <c r="L67" s="47">
        <v>32551.282051282</v>
      </c>
      <c r="N67" s="46">
        <v>44501</v>
      </c>
      <c r="O67" s="47">
        <f>O66+Tabelle5819[[#This Row],[Realisatie]]</f>
        <v>405200.46620046627</v>
      </c>
      <c r="P67" s="47">
        <f>P66+Tabelle5819[[#This Row],[Doel]]</f>
        <v>485948.71794871782</v>
      </c>
      <c r="R67" s="46">
        <v>44501</v>
      </c>
      <c r="S67" s="47"/>
      <c r="T67" s="27">
        <v>1000</v>
      </c>
      <c r="V67" s="46">
        <v>44501</v>
      </c>
      <c r="W67" s="47">
        <f>W66+Tabelle5830[[#This Row],[Realisatie]]</f>
        <v>23207.459207459178</v>
      </c>
      <c r="X67" s="27">
        <f>X66+Tabelle5830[[#This Row],[Doel]]</f>
        <v>17000</v>
      </c>
      <c r="Z67" s="46">
        <v>44501</v>
      </c>
      <c r="AA67" s="39" t="e">
        <f t="shared" si="3"/>
        <v>#DIV/0!</v>
      </c>
      <c r="AB67" s="27">
        <v>10</v>
      </c>
      <c r="AD67" s="46">
        <v>44501</v>
      </c>
      <c r="AE67" s="39" t="e">
        <f>AE66+Tabelle583041[[#This Row],[Realisatie]]</f>
        <v>#DIV/0!</v>
      </c>
      <c r="AF67" s="39">
        <f>AF66+Tabelle583041[[#This Row],[Doel]]</f>
        <v>230</v>
      </c>
    </row>
    <row r="68" spans="2:32" x14ac:dyDescent="0.35">
      <c r="B68" s="46">
        <v>44531</v>
      </c>
      <c r="C68" s="47"/>
      <c r="D68" s="47">
        <v>715.56166989238852</v>
      </c>
      <c r="F68" s="46">
        <v>44531</v>
      </c>
      <c r="G68" s="47">
        <f>G67+Tabelle58[[#This Row],[Realisatie]]</f>
        <v>3904.6131440000008</v>
      </c>
      <c r="H68" s="47">
        <f>H67+Tabelle58[[#This Row],[Doel]]</f>
        <v>6273.1783688162704</v>
      </c>
      <c r="J68" s="46">
        <v>44531</v>
      </c>
      <c r="K68" s="47"/>
      <c r="L68" s="47">
        <v>33589.743589743601</v>
      </c>
      <c r="N68" s="46">
        <v>44531</v>
      </c>
      <c r="O68" s="47">
        <f>O67+Tabelle5819[[#This Row],[Realisatie]]</f>
        <v>405200.46620046627</v>
      </c>
      <c r="P68" s="47">
        <f>P67+Tabelle5819[[#This Row],[Doel]]</f>
        <v>519538.46153846144</v>
      </c>
      <c r="R68" s="46">
        <v>44531</v>
      </c>
      <c r="S68" s="47"/>
      <c r="T68" s="27">
        <v>1000</v>
      </c>
      <c r="V68" s="46">
        <v>44531</v>
      </c>
      <c r="W68" s="47">
        <f>W67+Tabelle5830[[#This Row],[Realisatie]]</f>
        <v>23207.459207459178</v>
      </c>
      <c r="X68" s="27">
        <f>X67+Tabelle5830[[#This Row],[Doel]]</f>
        <v>18000</v>
      </c>
      <c r="Z68" s="46">
        <v>44531</v>
      </c>
      <c r="AA68" s="39" t="e">
        <f t="shared" si="3"/>
        <v>#DIV/0!</v>
      </c>
      <c r="AB68" s="27">
        <v>10</v>
      </c>
      <c r="AD68" s="46">
        <v>44531</v>
      </c>
      <c r="AE68" s="39" t="e">
        <f>AE67+Tabelle583041[[#This Row],[Realisatie]]</f>
        <v>#DIV/0!</v>
      </c>
      <c r="AF68" s="39">
        <f>AF67+Tabelle583041[[#This Row],[Doel]]</f>
        <v>240</v>
      </c>
    </row>
    <row r="69" spans="2:32" x14ac:dyDescent="0.35">
      <c r="B69" s="46">
        <v>44562</v>
      </c>
      <c r="C69" s="47"/>
      <c r="D69" s="47">
        <v>787.11783688162745</v>
      </c>
      <c r="F69" s="46">
        <v>44562</v>
      </c>
      <c r="G69" s="47">
        <f>G68+Tabelle58[[#This Row],[Realisatie]]</f>
        <v>3904.6131440000008</v>
      </c>
      <c r="H69" s="47">
        <f>H68+Tabelle58[[#This Row],[Doel]]</f>
        <v>7060.2962056978977</v>
      </c>
      <c r="J69" s="46">
        <v>44562</v>
      </c>
      <c r="K69" s="47"/>
      <c r="L69" s="47">
        <v>34628.205128205103</v>
      </c>
      <c r="N69" s="46">
        <v>44562</v>
      </c>
      <c r="O69" s="47">
        <f>O68+Tabelle5819[[#This Row],[Realisatie]]</f>
        <v>405200.46620046627</v>
      </c>
      <c r="P69" s="47">
        <f>P68+Tabelle5819[[#This Row],[Doel]]</f>
        <v>554166.66666666651</v>
      </c>
      <c r="R69" s="46">
        <v>44562</v>
      </c>
      <c r="S69" s="47"/>
      <c r="T69" s="27">
        <v>1000</v>
      </c>
      <c r="V69" s="46">
        <v>44562</v>
      </c>
      <c r="W69" s="47">
        <f>W68+Tabelle5830[[#This Row],[Realisatie]]</f>
        <v>23207.459207459178</v>
      </c>
      <c r="X69" s="27">
        <f>X68+Tabelle5830[[#This Row],[Doel]]</f>
        <v>19000</v>
      </c>
      <c r="Z69" s="46">
        <v>44562</v>
      </c>
      <c r="AA69" s="39" t="e">
        <f t="shared" si="3"/>
        <v>#DIV/0!</v>
      </c>
      <c r="AB69" s="27">
        <v>10</v>
      </c>
      <c r="AD69" s="46">
        <v>44562</v>
      </c>
      <c r="AE69" s="39" t="e">
        <f>AE68+Tabelle583041[[#This Row],[Realisatie]]</f>
        <v>#DIV/0!</v>
      </c>
      <c r="AF69" s="39">
        <f>AF68+Tabelle583041[[#This Row],[Doel]]</f>
        <v>250</v>
      </c>
    </row>
    <row r="70" spans="2:32" x14ac:dyDescent="0.35">
      <c r="B70" s="46">
        <v>44593</v>
      </c>
      <c r="C70" s="47"/>
      <c r="D70" s="47">
        <v>865.82962056979034</v>
      </c>
      <c r="F70" s="46">
        <v>44593</v>
      </c>
      <c r="G70" s="47">
        <f>G69+Tabelle58[[#This Row],[Realisatie]]</f>
        <v>3904.6131440000008</v>
      </c>
      <c r="H70" s="47">
        <f>H69+Tabelle58[[#This Row],[Doel]]</f>
        <v>7926.1258262676884</v>
      </c>
      <c r="J70" s="46">
        <v>44593</v>
      </c>
      <c r="K70" s="47"/>
      <c r="L70" s="47">
        <v>35666.666666666701</v>
      </c>
      <c r="N70" s="46">
        <v>44593</v>
      </c>
      <c r="O70" s="47">
        <f>O69+Tabelle5819[[#This Row],[Realisatie]]</f>
        <v>405200.46620046627</v>
      </c>
      <c r="P70" s="47">
        <f>P69+Tabelle5819[[#This Row],[Doel]]</f>
        <v>589833.33333333326</v>
      </c>
      <c r="R70" s="46">
        <v>44593</v>
      </c>
      <c r="S70" s="47"/>
      <c r="T70" s="27">
        <v>2000</v>
      </c>
      <c r="V70" s="46">
        <v>44593</v>
      </c>
      <c r="W70" s="47">
        <f>W69+Tabelle5830[[#This Row],[Realisatie]]</f>
        <v>23207.459207459178</v>
      </c>
      <c r="X70" s="27">
        <f>X69+Tabelle5830[[#This Row],[Doel]]</f>
        <v>21000</v>
      </c>
      <c r="Z70" s="46">
        <v>44593</v>
      </c>
      <c r="AA70" s="39" t="e">
        <f t="shared" si="3"/>
        <v>#DIV/0!</v>
      </c>
      <c r="AB70" s="27">
        <v>10</v>
      </c>
      <c r="AD70" s="46">
        <v>44593</v>
      </c>
      <c r="AE70" s="39" t="e">
        <f>AE69+Tabelle583041[[#This Row],[Realisatie]]</f>
        <v>#DIV/0!</v>
      </c>
      <c r="AF70" s="39">
        <f>AF69+Tabelle583041[[#This Row],[Doel]]</f>
        <v>260</v>
      </c>
    </row>
    <row r="71" spans="2:32" x14ac:dyDescent="0.35">
      <c r="B71" s="46">
        <v>44621</v>
      </c>
      <c r="C71" s="47"/>
      <c r="D71" s="47">
        <v>952.41258262676934</v>
      </c>
      <c r="F71" s="46">
        <v>44621</v>
      </c>
      <c r="G71" s="47">
        <f>G70+Tabelle58[[#This Row],[Realisatie]]</f>
        <v>3904.6131440000008</v>
      </c>
      <c r="H71" s="47">
        <f>H70+Tabelle58[[#This Row],[Doel]]</f>
        <v>8878.5384088944575</v>
      </c>
      <c r="J71" s="46">
        <v>44621</v>
      </c>
      <c r="K71" s="47"/>
      <c r="L71" s="47">
        <v>36705.128205128203</v>
      </c>
      <c r="N71" s="46">
        <v>44621</v>
      </c>
      <c r="O71" s="47">
        <f>O70+Tabelle5819[[#This Row],[Realisatie]]</f>
        <v>405200.46620046627</v>
      </c>
      <c r="P71" s="47">
        <f>P70+Tabelle5819[[#This Row],[Doel]]</f>
        <v>626538.4615384615</v>
      </c>
      <c r="R71" s="46">
        <v>44621</v>
      </c>
      <c r="S71" s="47"/>
      <c r="T71" s="27">
        <v>2000</v>
      </c>
      <c r="V71" s="46">
        <v>44621</v>
      </c>
      <c r="W71" s="47">
        <f>W70+Tabelle5830[[#This Row],[Realisatie]]</f>
        <v>23207.459207459178</v>
      </c>
      <c r="X71" s="27">
        <f>X70+Tabelle5830[[#This Row],[Doel]]</f>
        <v>23000</v>
      </c>
      <c r="Z71" s="46">
        <v>44621</v>
      </c>
      <c r="AA71" s="39" t="e">
        <f t="shared" si="3"/>
        <v>#DIV/0!</v>
      </c>
      <c r="AB71" s="27">
        <v>10</v>
      </c>
      <c r="AD71" s="46">
        <v>44621</v>
      </c>
      <c r="AE71" s="39" t="e">
        <f>AE70+Tabelle583041[[#This Row],[Realisatie]]</f>
        <v>#DIV/0!</v>
      </c>
      <c r="AF71" s="39">
        <f>AF70+Tabelle583041[[#This Row],[Doel]]</f>
        <v>270</v>
      </c>
    </row>
    <row r="72" spans="2:32" x14ac:dyDescent="0.35">
      <c r="B72" s="46">
        <v>44652</v>
      </c>
      <c r="C72" s="47"/>
      <c r="D72" s="47">
        <v>1047.6538408894464</v>
      </c>
      <c r="F72" s="46">
        <v>44652</v>
      </c>
      <c r="G72" s="47">
        <f>G71+Tabelle58[[#This Row],[Realisatie]]</f>
        <v>3904.6131440000008</v>
      </c>
      <c r="H72" s="47">
        <f>H71+Tabelle58[[#This Row],[Doel]]</f>
        <v>9926.1922497839041</v>
      </c>
      <c r="J72" s="46">
        <v>44652</v>
      </c>
      <c r="K72" s="47"/>
      <c r="L72" s="47">
        <v>37743.589743589699</v>
      </c>
      <c r="N72" s="46">
        <v>44652</v>
      </c>
      <c r="O72" s="47">
        <f>O71+Tabelle5819[[#This Row],[Realisatie]]</f>
        <v>405200.46620046627</v>
      </c>
      <c r="P72" s="47">
        <f>P71+Tabelle5819[[#This Row],[Doel]]</f>
        <v>664282.05128205125</v>
      </c>
      <c r="R72" s="46">
        <v>44652</v>
      </c>
      <c r="S72" s="47"/>
      <c r="T72" s="27">
        <v>2000</v>
      </c>
      <c r="V72" s="46">
        <v>44652</v>
      </c>
      <c r="W72" s="47">
        <f>W71+Tabelle5830[[#This Row],[Realisatie]]</f>
        <v>23207.459207459178</v>
      </c>
      <c r="X72" s="27">
        <f>X71+Tabelle5830[[#This Row],[Doel]]</f>
        <v>25000</v>
      </c>
      <c r="Z72" s="46">
        <v>44652</v>
      </c>
      <c r="AA72" s="39" t="e">
        <f t="shared" si="3"/>
        <v>#DIV/0!</v>
      </c>
      <c r="AB72" s="27">
        <v>10</v>
      </c>
      <c r="AD72" s="46">
        <v>44652</v>
      </c>
      <c r="AE72" s="39" t="e">
        <f>AE71+Tabelle583041[[#This Row],[Realisatie]]</f>
        <v>#DIV/0!</v>
      </c>
      <c r="AF72" s="39">
        <f>AF71+Tabelle583041[[#This Row],[Doel]]</f>
        <v>280</v>
      </c>
    </row>
    <row r="73" spans="2:32" x14ac:dyDescent="0.35">
      <c r="B73" s="46">
        <v>44682</v>
      </c>
      <c r="C73" s="47"/>
      <c r="D73" s="47">
        <v>1152.4192249783912</v>
      </c>
      <c r="F73" s="46">
        <v>44682</v>
      </c>
      <c r="G73" s="47">
        <f>G72+Tabelle58[[#This Row],[Realisatie]]</f>
        <v>3904.6131440000008</v>
      </c>
      <c r="H73" s="47">
        <f>H72+Tabelle58[[#This Row],[Doel]]</f>
        <v>11078.611474762296</v>
      </c>
      <c r="J73" s="46">
        <v>44682</v>
      </c>
      <c r="K73" s="47"/>
      <c r="L73" s="47">
        <v>38782.051282051303</v>
      </c>
      <c r="N73" s="46">
        <v>44682</v>
      </c>
      <c r="O73" s="47">
        <f>O72+Tabelle5819[[#This Row],[Realisatie]]</f>
        <v>405200.46620046627</v>
      </c>
      <c r="P73" s="47">
        <f>P72+Tabelle5819[[#This Row],[Doel]]</f>
        <v>703064.1025641025</v>
      </c>
      <c r="R73" s="46">
        <v>44682</v>
      </c>
      <c r="S73" s="47"/>
      <c r="T73" s="27">
        <v>2000</v>
      </c>
      <c r="V73" s="46">
        <v>44682</v>
      </c>
      <c r="W73" s="47">
        <f>W72+Tabelle5830[[#This Row],[Realisatie]]</f>
        <v>23207.459207459178</v>
      </c>
      <c r="X73" s="27">
        <f>X72+Tabelle5830[[#This Row],[Doel]]</f>
        <v>27000</v>
      </c>
      <c r="Z73" s="46">
        <v>44682</v>
      </c>
      <c r="AA73" s="39" t="e">
        <f t="shared" si="3"/>
        <v>#DIV/0!</v>
      </c>
      <c r="AB73" s="27">
        <v>10</v>
      </c>
      <c r="AD73" s="46">
        <v>44682</v>
      </c>
      <c r="AE73" s="39" t="e">
        <f>AE72+Tabelle583041[[#This Row],[Realisatie]]</f>
        <v>#DIV/0!</v>
      </c>
      <c r="AF73" s="39">
        <f>AF72+Tabelle583041[[#This Row],[Doel]]</f>
        <v>290</v>
      </c>
    </row>
    <row r="74" spans="2:32" x14ac:dyDescent="0.35">
      <c r="B74" s="46">
        <v>44713</v>
      </c>
      <c r="C74" s="47"/>
      <c r="D74" s="47">
        <v>1267.6611474762306</v>
      </c>
      <c r="F74" s="46">
        <v>44713</v>
      </c>
      <c r="G74" s="47">
        <f>G73+Tabelle58[[#This Row],[Realisatie]]</f>
        <v>3904.6131440000008</v>
      </c>
      <c r="H74" s="47">
        <f>H73+Tabelle58[[#This Row],[Doel]]</f>
        <v>12346.272622238526</v>
      </c>
      <c r="J74" s="46">
        <v>44713</v>
      </c>
      <c r="K74" s="47"/>
      <c r="L74" s="47">
        <v>39820.512820512798</v>
      </c>
      <c r="N74" s="46">
        <v>44713</v>
      </c>
      <c r="O74" s="47">
        <f>O73+Tabelle5819[[#This Row],[Realisatie]]</f>
        <v>405200.46620046627</v>
      </c>
      <c r="P74" s="47">
        <f>P73+Tabelle5819[[#This Row],[Doel]]</f>
        <v>742884.61538461526</v>
      </c>
      <c r="R74" s="46">
        <v>44713</v>
      </c>
      <c r="S74" s="47"/>
      <c r="T74" s="27">
        <v>2000</v>
      </c>
      <c r="V74" s="46">
        <v>44713</v>
      </c>
      <c r="W74" s="47">
        <f>W73+Tabelle5830[[#This Row],[Realisatie]]</f>
        <v>23207.459207459178</v>
      </c>
      <c r="X74" s="27">
        <f>X73+Tabelle5830[[#This Row],[Doel]]</f>
        <v>29000</v>
      </c>
      <c r="Z74" s="46">
        <v>44713</v>
      </c>
      <c r="AA74" s="39" t="e">
        <f t="shared" si="3"/>
        <v>#DIV/0!</v>
      </c>
      <c r="AB74" s="27">
        <v>10</v>
      </c>
      <c r="AD74" s="46">
        <v>44713</v>
      </c>
      <c r="AE74" s="39" t="e">
        <f>AE73+Tabelle583041[[#This Row],[Realisatie]]</f>
        <v>#DIV/0!</v>
      </c>
      <c r="AF74" s="39">
        <f>AF73+Tabelle583041[[#This Row],[Doel]]</f>
        <v>300</v>
      </c>
    </row>
    <row r="75" spans="2:32" x14ac:dyDescent="0.35">
      <c r="B75" s="46">
        <v>44743</v>
      </c>
      <c r="C75" s="47"/>
      <c r="D75" s="47">
        <v>1394.4272622238536</v>
      </c>
      <c r="F75" s="46">
        <v>44743</v>
      </c>
      <c r="G75" s="47">
        <f>G74+Tabelle58[[#This Row],[Realisatie]]</f>
        <v>3904.6131440000008</v>
      </c>
      <c r="H75" s="47">
        <f>H74+Tabelle58[[#This Row],[Doel]]</f>
        <v>13740.699884462379</v>
      </c>
      <c r="J75" s="46">
        <v>44743</v>
      </c>
      <c r="K75" s="47"/>
      <c r="L75" s="47">
        <v>40858.974358974403</v>
      </c>
      <c r="N75" s="46">
        <v>44743</v>
      </c>
      <c r="O75" s="47">
        <f>O74+Tabelle5819[[#This Row],[Realisatie]]</f>
        <v>405200.46620046627</v>
      </c>
      <c r="P75" s="47">
        <f>P74+Tabelle5819[[#This Row],[Doel]]</f>
        <v>783743.58974358963</v>
      </c>
      <c r="R75" s="46">
        <v>44743</v>
      </c>
      <c r="S75" s="47"/>
      <c r="T75" s="27">
        <v>2000</v>
      </c>
      <c r="V75" s="46">
        <v>44743</v>
      </c>
      <c r="W75" s="47">
        <f>W74+Tabelle5830[[#This Row],[Realisatie]]</f>
        <v>23207.459207459178</v>
      </c>
      <c r="X75" s="27">
        <f>X74+Tabelle5830[[#This Row],[Doel]]</f>
        <v>31000</v>
      </c>
      <c r="Z75" s="46">
        <v>44743</v>
      </c>
      <c r="AA75" s="39" t="e">
        <f t="shared" si="3"/>
        <v>#DIV/0!</v>
      </c>
      <c r="AB75" s="27">
        <v>10</v>
      </c>
      <c r="AD75" s="46">
        <v>44743</v>
      </c>
      <c r="AE75" s="39" t="e">
        <f>AE74+Tabelle583041[[#This Row],[Realisatie]]</f>
        <v>#DIV/0!</v>
      </c>
      <c r="AF75" s="39">
        <f>AF74+Tabelle583041[[#This Row],[Doel]]</f>
        <v>310</v>
      </c>
    </row>
    <row r="76" spans="2:32" x14ac:dyDescent="0.35">
      <c r="B76" s="46">
        <v>44774</v>
      </c>
      <c r="C76" s="47"/>
      <c r="D76" s="47">
        <v>1533.8699884462392</v>
      </c>
      <c r="F76" s="46">
        <v>44774</v>
      </c>
      <c r="G76" s="47">
        <f>G75+Tabelle58[[#This Row],[Realisatie]]</f>
        <v>3904.6131440000008</v>
      </c>
      <c r="H76" s="47">
        <f>H75+Tabelle58[[#This Row],[Doel]]</f>
        <v>15274.569872908618</v>
      </c>
      <c r="J76" s="46">
        <v>44774</v>
      </c>
      <c r="K76" s="48"/>
      <c r="N76" s="46">
        <v>44774</v>
      </c>
      <c r="O76" s="47">
        <f>O75+Tabelle5819[[#This Row],[Realisatie]]</f>
        <v>405200.46620046627</v>
      </c>
      <c r="P76" s="47">
        <f>P75+Tabelle5819[[#This Row],[Doel]]</f>
        <v>783743.58974358963</v>
      </c>
      <c r="R76" s="46">
        <v>44774</v>
      </c>
      <c r="T76" s="27">
        <v>2000</v>
      </c>
      <c r="V76" s="46">
        <v>44774</v>
      </c>
      <c r="W76" s="47">
        <f>W75+Tabelle5830[[#This Row],[Realisatie]]</f>
        <v>23207.459207459178</v>
      </c>
      <c r="X76" s="27">
        <f>X75+Tabelle5830[[#This Row],[Doel]]</f>
        <v>33000</v>
      </c>
      <c r="Z76" s="46">
        <v>44774</v>
      </c>
      <c r="AA76" s="39" t="e">
        <f t="shared" si="3"/>
        <v>#DIV/0!</v>
      </c>
      <c r="AB76" s="27">
        <v>10</v>
      </c>
      <c r="AD76" s="46">
        <v>44774</v>
      </c>
      <c r="AE76" s="39" t="e">
        <f>AE75+Tabelle583041[[#This Row],[Realisatie]]</f>
        <v>#DIV/0!</v>
      </c>
      <c r="AF76" s="39">
        <f>AF75+Tabelle583041[[#This Row],[Doel]]</f>
        <v>320</v>
      </c>
    </row>
    <row r="77" spans="2:32" x14ac:dyDescent="0.35">
      <c r="B77" s="46">
        <v>44805</v>
      </c>
      <c r="C77" s="47"/>
      <c r="D77" s="47">
        <v>1687.2569872908632</v>
      </c>
      <c r="F77" s="46">
        <v>44805</v>
      </c>
      <c r="G77" s="47">
        <f>G76+Tabelle58[[#This Row],[Realisatie]]</f>
        <v>3904.6131440000008</v>
      </c>
      <c r="H77" s="47">
        <f>H76+Tabelle58[[#This Row],[Doel]]</f>
        <v>16961.826860199482</v>
      </c>
      <c r="J77" s="46">
        <v>44805</v>
      </c>
      <c r="K77" s="48"/>
      <c r="N77" s="46">
        <v>44805</v>
      </c>
      <c r="O77" s="47">
        <f>O76+Tabelle5819[[#This Row],[Realisatie]]</f>
        <v>405200.46620046627</v>
      </c>
      <c r="P77" s="47">
        <f>P76+Tabelle5819[[#This Row],[Doel]]</f>
        <v>783743.58974358963</v>
      </c>
      <c r="R77" s="46">
        <v>44805</v>
      </c>
      <c r="T77" s="27">
        <v>2000</v>
      </c>
      <c r="V77" s="46">
        <v>44805</v>
      </c>
      <c r="W77" s="47">
        <f>W76+Tabelle5830[[#This Row],[Realisatie]]</f>
        <v>23207.459207459178</v>
      </c>
      <c r="X77" s="27">
        <f>X76+Tabelle5830[[#This Row],[Doel]]</f>
        <v>35000</v>
      </c>
      <c r="Z77" s="46">
        <v>44805</v>
      </c>
      <c r="AA77" s="39" t="e">
        <f t="shared" si="3"/>
        <v>#DIV/0!</v>
      </c>
      <c r="AB77" s="27">
        <v>10</v>
      </c>
      <c r="AD77" s="46">
        <v>44805</v>
      </c>
      <c r="AE77" s="39" t="e">
        <f>AE76+Tabelle583041[[#This Row],[Realisatie]]</f>
        <v>#DIV/0!</v>
      </c>
      <c r="AF77" s="39">
        <f>AF76+Tabelle583041[[#This Row],[Doel]]</f>
        <v>330</v>
      </c>
    </row>
    <row r="78" spans="2:32" x14ac:dyDescent="0.35">
      <c r="B78" s="46">
        <v>44835</v>
      </c>
      <c r="C78" s="47"/>
      <c r="D78" s="47">
        <v>1855.9826860199496</v>
      </c>
      <c r="F78" s="46">
        <v>44835</v>
      </c>
      <c r="G78" s="47">
        <f>G77+Tabelle58[[#This Row],[Realisatie]]</f>
        <v>3904.6131440000008</v>
      </c>
      <c r="H78" s="47">
        <f>H77+Tabelle58[[#This Row],[Doel]]</f>
        <v>18817.809546219432</v>
      </c>
      <c r="J78" s="46">
        <v>44835</v>
      </c>
      <c r="K78" s="48"/>
      <c r="N78" s="46">
        <v>44835</v>
      </c>
      <c r="O78" s="47">
        <f>O77+Tabelle5819[[#This Row],[Realisatie]]</f>
        <v>405200.46620046627</v>
      </c>
      <c r="P78" s="47">
        <f>P77+Tabelle5819[[#This Row],[Doel]]</f>
        <v>783743.58974358963</v>
      </c>
      <c r="R78" s="46">
        <v>44835</v>
      </c>
      <c r="T78" s="27">
        <v>2000</v>
      </c>
      <c r="V78" s="46">
        <v>44835</v>
      </c>
      <c r="W78" s="47">
        <f>W77+Tabelle5830[[#This Row],[Realisatie]]</f>
        <v>23207.459207459178</v>
      </c>
      <c r="X78" s="27">
        <f>X77+Tabelle5830[[#This Row],[Doel]]</f>
        <v>37000</v>
      </c>
      <c r="Z78" s="46">
        <v>44835</v>
      </c>
      <c r="AA78" s="39" t="e">
        <f t="shared" si="3"/>
        <v>#DIV/0!</v>
      </c>
      <c r="AB78" s="27">
        <v>10</v>
      </c>
      <c r="AD78" s="46">
        <v>44835</v>
      </c>
      <c r="AE78" s="39" t="e">
        <f>AE77+Tabelle583041[[#This Row],[Realisatie]]</f>
        <v>#DIV/0!</v>
      </c>
      <c r="AF78" s="39">
        <f>AF77+Tabelle583041[[#This Row],[Doel]]</f>
        <v>340</v>
      </c>
    </row>
    <row r="79" spans="2:32" x14ac:dyDescent="0.35">
      <c r="B79" s="46">
        <v>44866</v>
      </c>
      <c r="C79" s="47"/>
      <c r="D79" s="47">
        <v>2041.5809546219448</v>
      </c>
      <c r="F79" s="46">
        <v>44866</v>
      </c>
      <c r="G79" s="47">
        <f>G78+Tabelle58[[#This Row],[Realisatie]]</f>
        <v>3904.6131440000008</v>
      </c>
      <c r="H79" s="47">
        <f>H78+Tabelle58[[#This Row],[Doel]]</f>
        <v>20859.390500841379</v>
      </c>
      <c r="J79" s="46">
        <v>44866</v>
      </c>
      <c r="K79" s="48"/>
      <c r="N79" s="46">
        <v>44866</v>
      </c>
      <c r="O79" s="47">
        <f>O78+Tabelle5819[[#This Row],[Realisatie]]</f>
        <v>405200.46620046627</v>
      </c>
      <c r="P79" s="47">
        <f>P78+Tabelle5819[[#This Row],[Doel]]</f>
        <v>783743.58974358963</v>
      </c>
      <c r="R79" s="46">
        <v>44866</v>
      </c>
      <c r="T79" s="27">
        <v>2000</v>
      </c>
      <c r="V79" s="46">
        <v>44866</v>
      </c>
      <c r="W79" s="47">
        <f>W78+Tabelle5830[[#This Row],[Realisatie]]</f>
        <v>23207.459207459178</v>
      </c>
      <c r="X79" s="27">
        <f>X78+Tabelle5830[[#This Row],[Doel]]</f>
        <v>39000</v>
      </c>
      <c r="Z79" s="46">
        <v>44866</v>
      </c>
      <c r="AA79" s="39" t="e">
        <f t="shared" si="3"/>
        <v>#DIV/0!</v>
      </c>
      <c r="AB79" s="27">
        <v>10</v>
      </c>
      <c r="AD79" s="46">
        <v>44866</v>
      </c>
      <c r="AE79" s="39" t="e">
        <f>AE78+Tabelle583041[[#This Row],[Realisatie]]</f>
        <v>#DIV/0!</v>
      </c>
      <c r="AF79" s="39">
        <f>AF78+Tabelle583041[[#This Row],[Doel]]</f>
        <v>350</v>
      </c>
    </row>
    <row r="80" spans="2:32" x14ac:dyDescent="0.35">
      <c r="B80" s="46">
        <v>44896</v>
      </c>
      <c r="C80" s="47"/>
      <c r="D80" s="47">
        <v>2245.7390500841398</v>
      </c>
      <c r="F80" s="46">
        <v>44896</v>
      </c>
      <c r="G80" s="47">
        <f>G79+Tabelle58[[#This Row],[Realisatie]]</f>
        <v>3904.6131440000008</v>
      </c>
      <c r="H80" s="47">
        <f>H79+Tabelle58[[#This Row],[Doel]]</f>
        <v>23105.129550925518</v>
      </c>
      <c r="J80" s="46">
        <v>44896</v>
      </c>
      <c r="K80" s="48"/>
      <c r="N80" s="46">
        <v>44896</v>
      </c>
      <c r="O80" s="47">
        <f>O79+Tabelle5819[[#This Row],[Realisatie]]</f>
        <v>405200.46620046627</v>
      </c>
      <c r="P80" s="47">
        <f>P79+Tabelle5819[[#This Row],[Doel]]</f>
        <v>783743.58974358963</v>
      </c>
      <c r="R80" s="46">
        <v>44896</v>
      </c>
      <c r="T80" s="27">
        <v>2000</v>
      </c>
      <c r="V80" s="46">
        <v>44896</v>
      </c>
      <c r="W80" s="47">
        <f>W79+Tabelle5830[[#This Row],[Realisatie]]</f>
        <v>23207.459207459178</v>
      </c>
      <c r="X80" s="27">
        <f>X79+Tabelle5830[[#This Row],[Doel]]</f>
        <v>41000</v>
      </c>
      <c r="Z80" s="46">
        <v>44896</v>
      </c>
      <c r="AA80" s="39" t="e">
        <f t="shared" si="3"/>
        <v>#DIV/0!</v>
      </c>
      <c r="AB80" s="27">
        <v>10</v>
      </c>
      <c r="AD80" s="46">
        <v>44896</v>
      </c>
      <c r="AE80" s="39" t="e">
        <f>AE79+Tabelle583041[[#This Row],[Realisatie]]</f>
        <v>#DIV/0!</v>
      </c>
      <c r="AF80" s="39">
        <f>AF79+Tabelle583041[[#This Row],[Doel]]</f>
        <v>360</v>
      </c>
    </row>
    <row r="81" spans="2:32" x14ac:dyDescent="0.35">
      <c r="AA81" s="39"/>
      <c r="AE81" s="39"/>
      <c r="AF81" s="39"/>
    </row>
    <row r="83" spans="2:32" x14ac:dyDescent="0.35">
      <c r="B83" s="27" t="str">
        <f>Dropdown!C5</f>
        <v>Surplus</v>
      </c>
      <c r="C83" s="27" t="s">
        <v>0</v>
      </c>
      <c r="F83" s="27" t="str">
        <f>B83</f>
        <v>Surplus</v>
      </c>
      <c r="G83" s="27" t="s">
        <v>1</v>
      </c>
      <c r="J83" s="27" t="str">
        <f>Dropdown!C10</f>
        <v>Tijdsduur</v>
      </c>
      <c r="K83" s="27" t="s">
        <v>0</v>
      </c>
      <c r="N83" s="27" t="str">
        <f>J83</f>
        <v>Tijdsduur</v>
      </c>
      <c r="O83" s="27" t="s">
        <v>1</v>
      </c>
    </row>
    <row r="84" spans="2:32" x14ac:dyDescent="0.35">
      <c r="B84" s="27" t="s">
        <v>35</v>
      </c>
      <c r="C84" s="27" t="s">
        <v>33</v>
      </c>
      <c r="D84" s="27" t="s">
        <v>34</v>
      </c>
      <c r="F84" s="27" t="s">
        <v>35</v>
      </c>
      <c r="G84" s="27" t="s">
        <v>33</v>
      </c>
      <c r="H84" s="27" t="s">
        <v>34</v>
      </c>
      <c r="J84" s="27" t="s">
        <v>35</v>
      </c>
      <c r="K84" s="27" t="s">
        <v>33</v>
      </c>
      <c r="L84" s="27" t="s">
        <v>34</v>
      </c>
      <c r="N84" s="27" t="s">
        <v>35</v>
      </c>
      <c r="O84" s="27" t="s">
        <v>33</v>
      </c>
      <c r="P84" s="27" t="s">
        <v>34</v>
      </c>
    </row>
    <row r="85" spans="2:32" x14ac:dyDescent="0.35">
      <c r="B85" s="46">
        <v>43831</v>
      </c>
      <c r="C85" s="27">
        <f t="shared" ref="C85:D96" si="5">C5-C45</f>
        <v>170</v>
      </c>
      <c r="D85" s="27">
        <f t="shared" si="5"/>
        <v>140</v>
      </c>
      <c r="F85" s="46">
        <v>43831</v>
      </c>
      <c r="G85" s="27">
        <f>Tabelle5810[[#This Row],[Realisatie]]</f>
        <v>170</v>
      </c>
      <c r="H85" s="27">
        <f>Tabelle5810[[#This Row],[Doel]]</f>
        <v>140</v>
      </c>
      <c r="J85" s="46">
        <v>43831</v>
      </c>
      <c r="K85" s="27">
        <v>1.5</v>
      </c>
      <c r="L85" s="27">
        <v>2</v>
      </c>
      <c r="N85" s="46">
        <v>43831</v>
      </c>
      <c r="O85" s="27">
        <f>Tabelle581021[[#This Row],[Realisatie]]</f>
        <v>1.5</v>
      </c>
      <c r="P85" s="27">
        <f>Tabelle581021[[#This Row],[Doel]]</f>
        <v>2</v>
      </c>
    </row>
    <row r="86" spans="2:32" x14ac:dyDescent="0.35">
      <c r="B86" s="46">
        <v>43862</v>
      </c>
      <c r="C86" s="27">
        <f t="shared" si="5"/>
        <v>200</v>
      </c>
      <c r="D86" s="27">
        <f t="shared" si="5"/>
        <v>160</v>
      </c>
      <c r="F86" s="46">
        <v>43862</v>
      </c>
      <c r="G86" s="27">
        <f>G85+Tabelle5810[[#This Row],[Realisatie]]</f>
        <v>370</v>
      </c>
      <c r="H86" s="27">
        <f>H85+Tabelle5810[[#This Row],[Doel]]</f>
        <v>300</v>
      </c>
      <c r="J86" s="46">
        <v>43862</v>
      </c>
      <c r="K86" s="27">
        <v>2.2000000000000002</v>
      </c>
      <c r="L86" s="27">
        <v>2.5</v>
      </c>
      <c r="N86" s="46">
        <v>43862</v>
      </c>
      <c r="O86" s="27">
        <f>Tabelle581021[[#This Row],[Realisatie]]</f>
        <v>2.2000000000000002</v>
      </c>
      <c r="P86" s="27">
        <f>Tabelle581021[[#This Row],[Doel]]</f>
        <v>2.5</v>
      </c>
    </row>
    <row r="87" spans="2:32" x14ac:dyDescent="0.35">
      <c r="B87" s="46">
        <v>43891</v>
      </c>
      <c r="C87" s="27">
        <f t="shared" si="5"/>
        <v>80</v>
      </c>
      <c r="D87" s="27">
        <f t="shared" si="5"/>
        <v>160</v>
      </c>
      <c r="F87" s="46">
        <v>43891</v>
      </c>
      <c r="G87" s="27">
        <f>G86+Tabelle5810[[#This Row],[Realisatie]]</f>
        <v>450</v>
      </c>
      <c r="H87" s="27">
        <f>H86+Tabelle5810[[#This Row],[Doel]]</f>
        <v>460</v>
      </c>
      <c r="J87" s="46">
        <v>43891</v>
      </c>
      <c r="K87" s="27">
        <v>2.9</v>
      </c>
      <c r="L87" s="27">
        <v>2.5</v>
      </c>
      <c r="N87" s="46">
        <v>43891</v>
      </c>
      <c r="O87" s="27">
        <f>Tabelle581021[[#This Row],[Realisatie]]</f>
        <v>2.9</v>
      </c>
      <c r="P87" s="27">
        <f>Tabelle581021[[#This Row],[Doel]]</f>
        <v>2.5</v>
      </c>
    </row>
    <row r="88" spans="2:32" x14ac:dyDescent="0.35">
      <c r="B88" s="46">
        <v>43922</v>
      </c>
      <c r="C88" s="27">
        <f t="shared" si="5"/>
        <v>130</v>
      </c>
      <c r="D88" s="27">
        <f t="shared" si="5"/>
        <v>130</v>
      </c>
      <c r="F88" s="46">
        <v>43922</v>
      </c>
      <c r="G88" s="27">
        <f>G87+Tabelle5810[[#This Row],[Realisatie]]</f>
        <v>580</v>
      </c>
      <c r="H88" s="27">
        <f>H87+Tabelle5810[[#This Row],[Doel]]</f>
        <v>590</v>
      </c>
      <c r="J88" s="46">
        <v>43922</v>
      </c>
      <c r="K88" s="27">
        <v>2.4</v>
      </c>
      <c r="L88" s="27">
        <v>2.5</v>
      </c>
      <c r="N88" s="46">
        <v>43922</v>
      </c>
      <c r="O88" s="27">
        <f>Tabelle581021[[#This Row],[Realisatie]]</f>
        <v>2.4</v>
      </c>
      <c r="P88" s="27">
        <f>Tabelle581021[[#This Row],[Doel]]</f>
        <v>2.5</v>
      </c>
    </row>
    <row r="89" spans="2:32" x14ac:dyDescent="0.35">
      <c r="B89" s="46">
        <v>43952</v>
      </c>
      <c r="C89" s="27">
        <f t="shared" si="5"/>
        <v>200</v>
      </c>
      <c r="D89" s="27">
        <f t="shared" si="5"/>
        <v>170</v>
      </c>
      <c r="F89" s="46">
        <v>43952</v>
      </c>
      <c r="G89" s="27">
        <f>G88+Tabelle5810[[#This Row],[Realisatie]]</f>
        <v>780</v>
      </c>
      <c r="H89" s="27">
        <f>H88+Tabelle5810[[#This Row],[Doel]]</f>
        <v>760</v>
      </c>
      <c r="J89" s="46">
        <v>43952</v>
      </c>
      <c r="K89" s="39">
        <v>3.2</v>
      </c>
      <c r="L89" s="39">
        <v>3</v>
      </c>
      <c r="N89" s="46">
        <v>43952</v>
      </c>
      <c r="O89" s="27">
        <f>Tabelle581021[[#This Row],[Realisatie]]</f>
        <v>3.2</v>
      </c>
      <c r="P89" s="27">
        <f>Tabelle581021[[#This Row],[Doel]]</f>
        <v>3</v>
      </c>
    </row>
    <row r="90" spans="2:32" x14ac:dyDescent="0.35">
      <c r="B90" s="46">
        <v>43983</v>
      </c>
      <c r="C90" s="27">
        <f t="shared" si="5"/>
        <v>30</v>
      </c>
      <c r="D90" s="27">
        <f t="shared" si="5"/>
        <v>190</v>
      </c>
      <c r="F90" s="46">
        <v>43983</v>
      </c>
      <c r="G90" s="27">
        <f>G89+Tabelle5810[[#This Row],[Realisatie]]</f>
        <v>810</v>
      </c>
      <c r="H90" s="27">
        <f>H89+Tabelle5810[[#This Row],[Doel]]</f>
        <v>950</v>
      </c>
      <c r="J90" s="46">
        <v>43983</v>
      </c>
      <c r="K90" s="39">
        <v>3.3</v>
      </c>
      <c r="L90" s="39">
        <v>3</v>
      </c>
      <c r="N90" s="46">
        <v>43983</v>
      </c>
      <c r="O90" s="27">
        <f>Tabelle581021[[#This Row],[Realisatie]]</f>
        <v>3.3</v>
      </c>
      <c r="P90" s="27">
        <f>Tabelle581021[[#This Row],[Doel]]</f>
        <v>3</v>
      </c>
    </row>
    <row r="91" spans="2:32" x14ac:dyDescent="0.35">
      <c r="B91" s="46">
        <v>44013</v>
      </c>
      <c r="C91" s="27">
        <f t="shared" si="5"/>
        <v>30</v>
      </c>
      <c r="D91" s="27">
        <f t="shared" si="5"/>
        <v>210</v>
      </c>
      <c r="F91" s="46">
        <v>44013</v>
      </c>
      <c r="G91" s="27">
        <f>G90+Tabelle5810[[#This Row],[Realisatie]]</f>
        <v>840</v>
      </c>
      <c r="H91" s="27">
        <f>H90+Tabelle5810[[#This Row],[Doel]]</f>
        <v>1160</v>
      </c>
      <c r="J91" s="46">
        <v>44013</v>
      </c>
      <c r="K91" s="39">
        <v>3.5</v>
      </c>
      <c r="L91" s="39">
        <v>3</v>
      </c>
      <c r="N91" s="46">
        <v>44013</v>
      </c>
      <c r="O91" s="27">
        <f>Tabelle581021[[#This Row],[Realisatie]]</f>
        <v>3.5</v>
      </c>
      <c r="P91" s="27">
        <f>Tabelle581021[[#This Row],[Doel]]</f>
        <v>3</v>
      </c>
    </row>
    <row r="92" spans="2:32" x14ac:dyDescent="0.35">
      <c r="B92" s="46">
        <v>44044</v>
      </c>
      <c r="C92" s="27">
        <f t="shared" si="5"/>
        <v>-60</v>
      </c>
      <c r="D92" s="27">
        <f t="shared" si="5"/>
        <v>190</v>
      </c>
      <c r="F92" s="46">
        <v>44044</v>
      </c>
      <c r="G92" s="27">
        <f>G91+Tabelle5810[[#This Row],[Realisatie]]</f>
        <v>780</v>
      </c>
      <c r="H92" s="27">
        <f>H91+Tabelle5810[[#This Row],[Doel]]</f>
        <v>1350</v>
      </c>
      <c r="J92" s="46">
        <v>44044</v>
      </c>
      <c r="K92" s="39">
        <v>3.1</v>
      </c>
      <c r="L92" s="39">
        <v>3.5</v>
      </c>
      <c r="N92" s="46">
        <v>44044</v>
      </c>
      <c r="O92" s="27">
        <f>Tabelle581021[[#This Row],[Realisatie]]</f>
        <v>3.1</v>
      </c>
      <c r="P92" s="27">
        <f>Tabelle581021[[#This Row],[Doel]]</f>
        <v>3.5</v>
      </c>
    </row>
    <row r="93" spans="2:32" x14ac:dyDescent="0.35">
      <c r="B93" s="46">
        <v>44075</v>
      </c>
      <c r="C93" s="27">
        <f t="shared" si="5"/>
        <v>270</v>
      </c>
      <c r="D93" s="27">
        <f t="shared" si="5"/>
        <v>190</v>
      </c>
      <c r="F93" s="46">
        <v>44075</v>
      </c>
      <c r="G93" s="27">
        <f>G92+Tabelle5810[[#This Row],[Realisatie]]</f>
        <v>1050</v>
      </c>
      <c r="H93" s="27">
        <f>H92+Tabelle5810[[#This Row],[Doel]]</f>
        <v>1540</v>
      </c>
      <c r="J93" s="46">
        <v>44075</v>
      </c>
      <c r="K93" s="39">
        <v>2.9</v>
      </c>
      <c r="L93" s="39">
        <v>3.5</v>
      </c>
      <c r="N93" s="46">
        <v>44075</v>
      </c>
      <c r="O93" s="27">
        <f>Tabelle581021[[#This Row],[Realisatie]]</f>
        <v>2.9</v>
      </c>
      <c r="P93" s="27">
        <f>Tabelle581021[[#This Row],[Doel]]</f>
        <v>3.5</v>
      </c>
    </row>
    <row r="94" spans="2:32" x14ac:dyDescent="0.35">
      <c r="B94" s="46">
        <v>44105</v>
      </c>
      <c r="C94" s="27">
        <f t="shared" si="5"/>
        <v>10</v>
      </c>
      <c r="D94" s="27">
        <f t="shared" si="5"/>
        <v>210</v>
      </c>
      <c r="F94" s="46">
        <v>44105</v>
      </c>
      <c r="G94" s="27">
        <f>G93+Tabelle5810[[#This Row],[Realisatie]]</f>
        <v>1060</v>
      </c>
      <c r="H94" s="27">
        <f>H93+Tabelle5810[[#This Row],[Doel]]</f>
        <v>1750</v>
      </c>
      <c r="J94" s="46">
        <v>44105</v>
      </c>
      <c r="K94" s="39">
        <v>4.2</v>
      </c>
      <c r="L94" s="39">
        <v>3.5</v>
      </c>
      <c r="N94" s="46">
        <v>44105</v>
      </c>
      <c r="O94" s="27">
        <f>Tabelle581021[[#This Row],[Realisatie]]</f>
        <v>4.2</v>
      </c>
      <c r="P94" s="27">
        <f>Tabelle581021[[#This Row],[Doel]]</f>
        <v>3.5</v>
      </c>
    </row>
    <row r="95" spans="2:32" x14ac:dyDescent="0.35">
      <c r="B95" s="46">
        <v>44136</v>
      </c>
      <c r="C95" s="27">
        <f t="shared" si="5"/>
        <v>250</v>
      </c>
      <c r="D95" s="27">
        <f t="shared" si="5"/>
        <v>260</v>
      </c>
      <c r="F95" s="46">
        <v>44136</v>
      </c>
      <c r="G95" s="27">
        <f>G94+Tabelle5810[[#This Row],[Realisatie]]</f>
        <v>1310</v>
      </c>
      <c r="H95" s="27">
        <f>H94+Tabelle5810[[#This Row],[Doel]]</f>
        <v>2010</v>
      </c>
      <c r="J95" s="46">
        <v>44136</v>
      </c>
      <c r="K95" s="39">
        <v>4.9000000000000004</v>
      </c>
      <c r="L95" s="39">
        <v>4</v>
      </c>
      <c r="N95" s="46">
        <v>44136</v>
      </c>
      <c r="O95" s="27">
        <f>Tabelle581021[[#This Row],[Realisatie]]</f>
        <v>4.9000000000000004</v>
      </c>
      <c r="P95" s="27">
        <f>Tabelle581021[[#This Row],[Doel]]</f>
        <v>4</v>
      </c>
    </row>
    <row r="96" spans="2:32" x14ac:dyDescent="0.35">
      <c r="B96" s="46">
        <v>44166</v>
      </c>
      <c r="C96" s="27">
        <f t="shared" si="5"/>
        <v>360</v>
      </c>
      <c r="D96" s="27">
        <f t="shared" si="5"/>
        <v>380</v>
      </c>
      <c r="F96" s="46">
        <v>44166</v>
      </c>
      <c r="G96" s="47">
        <f>G95+Tabelle5810[[#This Row],[Realisatie]]</f>
        <v>1670</v>
      </c>
      <c r="H96" s="47">
        <f>H95+Tabelle5810[[#This Row],[Doel]]</f>
        <v>2390</v>
      </c>
      <c r="J96" s="46">
        <v>44166</v>
      </c>
      <c r="K96" s="39">
        <v>5.6</v>
      </c>
      <c r="L96" s="39">
        <v>4</v>
      </c>
      <c r="N96" s="46">
        <v>44166</v>
      </c>
      <c r="O96" s="27">
        <f>Tabelle581021[[#This Row],[Realisatie]]</f>
        <v>5.6</v>
      </c>
      <c r="P96" s="27">
        <f>Tabelle581021[[#This Row],[Doel]]</f>
        <v>4</v>
      </c>
    </row>
    <row r="97" spans="2:16" x14ac:dyDescent="0.35">
      <c r="B97" s="46">
        <v>44197</v>
      </c>
      <c r="C97" s="47">
        <f t="shared" ref="C97:C120" si="6">C17-C57</f>
        <v>396</v>
      </c>
      <c r="D97" s="47">
        <f t="shared" ref="D97:D120" si="7">D17-D57</f>
        <v>299.20000000000005</v>
      </c>
      <c r="F97" s="46">
        <v>44197</v>
      </c>
      <c r="G97" s="47">
        <f>G96+Tabelle5810[[#This Row],[Realisatie]]</f>
        <v>2066</v>
      </c>
      <c r="H97" s="47">
        <f>H96+Tabelle5810[[#This Row],[Doel]]</f>
        <v>2689.2</v>
      </c>
      <c r="J97" s="46">
        <v>44197</v>
      </c>
      <c r="K97" s="39">
        <v>5.2678571428571397</v>
      </c>
      <c r="L97" s="39">
        <v>4.16071428571429</v>
      </c>
      <c r="N97" s="46">
        <v>44197</v>
      </c>
      <c r="O97" s="39">
        <f>Tabelle581021[[#This Row],[Realisatie]]</f>
        <v>5.2678571428571397</v>
      </c>
      <c r="P97" s="39">
        <f>Tabelle581021[[#This Row],[Doel]]</f>
        <v>4.16071428571429</v>
      </c>
    </row>
    <row r="98" spans="2:16" x14ac:dyDescent="0.35">
      <c r="B98" s="46">
        <v>44228</v>
      </c>
      <c r="C98" s="47">
        <f t="shared" si="6"/>
        <v>435.60000000000008</v>
      </c>
      <c r="D98" s="47">
        <f t="shared" si="7"/>
        <v>329.12</v>
      </c>
      <c r="F98" s="46">
        <v>44228</v>
      </c>
      <c r="G98" s="47">
        <f>G97+Tabelle5810[[#This Row],[Realisatie]]</f>
        <v>2501.6</v>
      </c>
      <c r="H98" s="47">
        <f>H97+Tabelle5810[[#This Row],[Doel]]</f>
        <v>3018.3199999999997</v>
      </c>
      <c r="J98" s="46">
        <v>44228</v>
      </c>
      <c r="K98" s="39">
        <v>5.5857142857142899</v>
      </c>
      <c r="L98" s="39">
        <v>4.3214285714285703</v>
      </c>
      <c r="N98" s="46">
        <v>44228</v>
      </c>
      <c r="O98" s="39">
        <f>Tabelle581021[[#This Row],[Realisatie]]</f>
        <v>5.5857142857142899</v>
      </c>
      <c r="P98" s="39">
        <f>Tabelle581021[[#This Row],[Doel]]</f>
        <v>4.3214285714285703</v>
      </c>
    </row>
    <row r="99" spans="2:16" x14ac:dyDescent="0.35">
      <c r="B99" s="46">
        <v>44256</v>
      </c>
      <c r="C99" s="47">
        <f t="shared" si="6"/>
        <v>479.16000000000008</v>
      </c>
      <c r="D99" s="47">
        <f t="shared" si="7"/>
        <v>362.03199999999998</v>
      </c>
      <c r="F99" s="46">
        <v>44256</v>
      </c>
      <c r="G99" s="47">
        <f>G98+Tabelle5810[[#This Row],[Realisatie]]</f>
        <v>2980.76</v>
      </c>
      <c r="H99" s="47">
        <f>H98+Tabelle5810[[#This Row],[Doel]]</f>
        <v>3380.3519999999999</v>
      </c>
      <c r="J99" s="46">
        <v>44256</v>
      </c>
      <c r="K99" s="39">
        <v>5.9035714285714302</v>
      </c>
      <c r="L99" s="39">
        <v>4.4821428571428603</v>
      </c>
      <c r="N99" s="46">
        <v>44256</v>
      </c>
      <c r="O99" s="39">
        <f>Tabelle581021[[#This Row],[Realisatie]]</f>
        <v>5.9035714285714302</v>
      </c>
      <c r="P99" s="39">
        <f>Tabelle581021[[#This Row],[Doel]]</f>
        <v>4.4821428571428603</v>
      </c>
    </row>
    <row r="100" spans="2:16" x14ac:dyDescent="0.35">
      <c r="B100" s="46">
        <v>44287</v>
      </c>
      <c r="C100" s="47">
        <f t="shared" si="6"/>
        <v>527.07600000000025</v>
      </c>
      <c r="D100" s="47">
        <f t="shared" si="7"/>
        <v>398.23520000000002</v>
      </c>
      <c r="F100" s="46">
        <v>44287</v>
      </c>
      <c r="G100" s="47">
        <f>G99+Tabelle5810[[#This Row],[Realisatie]]</f>
        <v>3507.8360000000002</v>
      </c>
      <c r="H100" s="47">
        <f>H99+Tabelle5810[[#This Row],[Doel]]</f>
        <v>3778.5871999999999</v>
      </c>
      <c r="J100" s="46">
        <v>44287</v>
      </c>
      <c r="K100" s="39">
        <v>6.2214285714285698</v>
      </c>
      <c r="L100" s="39">
        <v>4.6428571428571397</v>
      </c>
      <c r="N100" s="46">
        <v>44287</v>
      </c>
      <c r="O100" s="39">
        <f>Tabelle581021[[#This Row],[Realisatie]]</f>
        <v>6.2214285714285698</v>
      </c>
      <c r="P100" s="39">
        <f>Tabelle581021[[#This Row],[Doel]]</f>
        <v>4.6428571428571397</v>
      </c>
    </row>
    <row r="101" spans="2:16" x14ac:dyDescent="0.35">
      <c r="B101" s="46">
        <v>44317</v>
      </c>
      <c r="C101" s="47">
        <f t="shared" si="6"/>
        <v>579.78360000000021</v>
      </c>
      <c r="D101" s="47">
        <f t="shared" si="7"/>
        <v>438.05871999999999</v>
      </c>
      <c r="F101" s="46">
        <v>44317</v>
      </c>
      <c r="G101" s="47">
        <f>G100+Tabelle5810[[#This Row],[Realisatie]]</f>
        <v>4087.6196000000004</v>
      </c>
      <c r="H101" s="47">
        <f>H100+Tabelle5810[[#This Row],[Doel]]</f>
        <v>4216.6459199999999</v>
      </c>
      <c r="J101" s="46">
        <v>44317</v>
      </c>
      <c r="K101" s="39">
        <v>6.5392857142857101</v>
      </c>
      <c r="L101" s="39">
        <v>4.8035714285714297</v>
      </c>
      <c r="N101" s="46">
        <v>44317</v>
      </c>
      <c r="O101" s="39">
        <f>Tabelle581021[[#This Row],[Realisatie]]</f>
        <v>6.5392857142857101</v>
      </c>
      <c r="P101" s="39">
        <f>Tabelle581021[[#This Row],[Doel]]</f>
        <v>4.8035714285714297</v>
      </c>
    </row>
    <row r="102" spans="2:16" x14ac:dyDescent="0.35">
      <c r="B102" s="46">
        <v>44348</v>
      </c>
      <c r="C102" s="47">
        <f t="shared" si="6"/>
        <v>637.76196000000027</v>
      </c>
      <c r="D102" s="47">
        <f t="shared" si="7"/>
        <v>481.86459200000002</v>
      </c>
      <c r="F102" s="46">
        <v>44348</v>
      </c>
      <c r="G102" s="47">
        <f>G101+Tabelle5810[[#This Row],[Realisatie]]</f>
        <v>4725.3815600000007</v>
      </c>
      <c r="H102" s="47">
        <f>H101+Tabelle5810[[#This Row],[Doel]]</f>
        <v>4698.5105119999998</v>
      </c>
      <c r="J102" s="46">
        <v>44348</v>
      </c>
      <c r="K102" s="39">
        <v>6.8571428571428603</v>
      </c>
      <c r="L102" s="39">
        <v>4.96428571428571</v>
      </c>
      <c r="N102" s="46">
        <v>44348</v>
      </c>
      <c r="O102" s="39">
        <f>Tabelle581021[[#This Row],[Realisatie]]</f>
        <v>6.8571428571428603</v>
      </c>
      <c r="P102" s="39">
        <f>Tabelle581021[[#This Row],[Doel]]</f>
        <v>4.96428571428571</v>
      </c>
    </row>
    <row r="103" spans="2:16" x14ac:dyDescent="0.35">
      <c r="B103" s="46">
        <v>44378</v>
      </c>
      <c r="C103" s="47">
        <f t="shared" si="6"/>
        <v>701.5381560000003</v>
      </c>
      <c r="D103" s="47">
        <f t="shared" si="7"/>
        <v>530.05105120000007</v>
      </c>
      <c r="F103" s="46">
        <v>44378</v>
      </c>
      <c r="G103" s="47">
        <f>G102+Tabelle5810[[#This Row],[Realisatie]]</f>
        <v>5426.9197160000012</v>
      </c>
      <c r="H103" s="47">
        <f>H102+Tabelle5810[[#This Row],[Doel]]</f>
        <v>5228.5615631999999</v>
      </c>
      <c r="J103" s="46">
        <v>44378</v>
      </c>
      <c r="K103" s="39">
        <v>7.1749999999999998</v>
      </c>
      <c r="L103" s="39">
        <v>5.125</v>
      </c>
      <c r="N103" s="46">
        <v>44378</v>
      </c>
      <c r="O103" s="39">
        <f>Tabelle581021[[#This Row],[Realisatie]]</f>
        <v>7.1749999999999998</v>
      </c>
      <c r="P103" s="39">
        <f>Tabelle581021[[#This Row],[Doel]]</f>
        <v>5.125</v>
      </c>
    </row>
    <row r="104" spans="2:16" x14ac:dyDescent="0.35">
      <c r="B104" s="46">
        <v>44409</v>
      </c>
      <c r="C104" s="47">
        <f t="shared" si="6"/>
        <v>0</v>
      </c>
      <c r="D104" s="47">
        <f t="shared" si="7"/>
        <v>583.05615632000001</v>
      </c>
      <c r="F104" s="46">
        <v>44409</v>
      </c>
      <c r="G104" s="47">
        <f>G103+Tabelle5810[[#This Row],[Realisatie]]</f>
        <v>5426.9197160000012</v>
      </c>
      <c r="H104" s="47">
        <f>H103+Tabelle5810[[#This Row],[Doel]]</f>
        <v>5811.6177195199998</v>
      </c>
      <c r="J104" s="46">
        <v>44409</v>
      </c>
      <c r="K104" s="39"/>
      <c r="L104" s="39">
        <v>5.28571428571429</v>
      </c>
      <c r="N104" s="46">
        <v>44409</v>
      </c>
      <c r="O104" s="39">
        <f>Tabelle581021[[#This Row],[Realisatie]]</f>
        <v>0</v>
      </c>
      <c r="P104" s="39">
        <f>Tabelle581021[[#This Row],[Doel]]</f>
        <v>5.28571428571429</v>
      </c>
    </row>
    <row r="105" spans="2:16" x14ac:dyDescent="0.35">
      <c r="B105" s="46">
        <v>44440</v>
      </c>
      <c r="C105" s="47">
        <f t="shared" si="6"/>
        <v>0</v>
      </c>
      <c r="D105" s="47">
        <f t="shared" si="7"/>
        <v>641.36177195200003</v>
      </c>
      <c r="F105" s="46">
        <v>44440</v>
      </c>
      <c r="G105" s="47">
        <f>G104+Tabelle5810[[#This Row],[Realisatie]]</f>
        <v>5426.9197160000012</v>
      </c>
      <c r="H105" s="47">
        <f>H104+Tabelle5810[[#This Row],[Doel]]</f>
        <v>6452.9794914719996</v>
      </c>
      <c r="J105" s="46">
        <v>44440</v>
      </c>
      <c r="K105" s="39"/>
      <c r="L105" s="39">
        <v>5.4464285714285703</v>
      </c>
      <c r="N105" s="46">
        <v>44440</v>
      </c>
      <c r="O105" s="39">
        <f>Tabelle581021[[#This Row],[Realisatie]]</f>
        <v>0</v>
      </c>
      <c r="P105" s="39">
        <f>Tabelle581021[[#This Row],[Doel]]</f>
        <v>5.4464285714285703</v>
      </c>
    </row>
    <row r="106" spans="2:16" x14ac:dyDescent="0.35">
      <c r="B106" s="46">
        <v>44470</v>
      </c>
      <c r="C106" s="47">
        <f t="shared" si="6"/>
        <v>0</v>
      </c>
      <c r="D106" s="47">
        <f t="shared" si="7"/>
        <v>705.49794914720019</v>
      </c>
      <c r="F106" s="46">
        <v>44470</v>
      </c>
      <c r="G106" s="47">
        <f>G105+Tabelle5810[[#This Row],[Realisatie]]</f>
        <v>5426.9197160000012</v>
      </c>
      <c r="H106" s="47">
        <f>H105+Tabelle5810[[#This Row],[Doel]]</f>
        <v>7158.4774406192</v>
      </c>
      <c r="J106" s="46">
        <v>44470</v>
      </c>
      <c r="K106" s="39"/>
      <c r="L106" s="39">
        <v>5.6071428571428603</v>
      </c>
      <c r="N106" s="46">
        <v>44470</v>
      </c>
      <c r="O106" s="39">
        <f>Tabelle581021[[#This Row],[Realisatie]]</f>
        <v>0</v>
      </c>
      <c r="P106" s="39">
        <f>Tabelle581021[[#This Row],[Doel]]</f>
        <v>5.6071428571428603</v>
      </c>
    </row>
    <row r="107" spans="2:16" x14ac:dyDescent="0.35">
      <c r="B107" s="46">
        <v>44501</v>
      </c>
      <c r="C107" s="47">
        <f t="shared" si="6"/>
        <v>0</v>
      </c>
      <c r="D107" s="47">
        <f t="shared" si="7"/>
        <v>776.04774406192018</v>
      </c>
      <c r="F107" s="46">
        <v>44501</v>
      </c>
      <c r="G107" s="47">
        <f>G106+Tabelle5810[[#This Row],[Realisatie]]</f>
        <v>5426.9197160000012</v>
      </c>
      <c r="H107" s="47">
        <f>H106+Tabelle5810[[#This Row],[Doel]]</f>
        <v>7934.5251846811207</v>
      </c>
      <c r="J107" s="46">
        <v>44501</v>
      </c>
      <c r="K107" s="39"/>
      <c r="L107" s="39">
        <v>5.7678571428571397</v>
      </c>
      <c r="N107" s="46">
        <v>44501</v>
      </c>
      <c r="O107" s="39">
        <f>Tabelle581021[[#This Row],[Realisatie]]</f>
        <v>0</v>
      </c>
      <c r="P107" s="39">
        <f>Tabelle581021[[#This Row],[Doel]]</f>
        <v>5.7678571428571397</v>
      </c>
    </row>
    <row r="108" spans="2:16" x14ac:dyDescent="0.35">
      <c r="B108" s="46">
        <v>44531</v>
      </c>
      <c r="C108" s="47">
        <f t="shared" si="6"/>
        <v>0</v>
      </c>
      <c r="D108" s="47">
        <f t="shared" si="7"/>
        <v>853.65251846811236</v>
      </c>
      <c r="F108" s="46">
        <v>44531</v>
      </c>
      <c r="G108" s="47">
        <f>G107+Tabelle5810[[#This Row],[Realisatie]]</f>
        <v>5426.9197160000012</v>
      </c>
      <c r="H108" s="47">
        <f>H107+Tabelle5810[[#This Row],[Doel]]</f>
        <v>8788.1777031492329</v>
      </c>
      <c r="J108" s="46">
        <v>44531</v>
      </c>
      <c r="K108" s="39"/>
      <c r="L108" s="39">
        <v>5.9285714285714297</v>
      </c>
      <c r="N108" s="46">
        <v>44531</v>
      </c>
      <c r="O108" s="39">
        <f>Tabelle581021[[#This Row],[Realisatie]]</f>
        <v>0</v>
      </c>
      <c r="P108" s="39">
        <f>Tabelle581021[[#This Row],[Doel]]</f>
        <v>5.9285714285714297</v>
      </c>
    </row>
    <row r="109" spans="2:16" x14ac:dyDescent="0.35">
      <c r="B109" s="46">
        <v>44562</v>
      </c>
      <c r="C109" s="47">
        <f t="shared" si="6"/>
        <v>0</v>
      </c>
      <c r="D109" s="47">
        <f t="shared" si="7"/>
        <v>939.01777031492361</v>
      </c>
      <c r="F109" s="46">
        <v>44562</v>
      </c>
      <c r="G109" s="47">
        <f>G108+Tabelle5810[[#This Row],[Realisatie]]</f>
        <v>5426.9197160000012</v>
      </c>
      <c r="H109" s="47">
        <f>H108+Tabelle5810[[#This Row],[Doel]]</f>
        <v>9727.1954734641567</v>
      </c>
      <c r="J109" s="46">
        <v>44562</v>
      </c>
      <c r="K109" s="39"/>
      <c r="L109" s="39">
        <v>6.08928571428571</v>
      </c>
      <c r="N109" s="46">
        <v>44562</v>
      </c>
      <c r="O109" s="39">
        <f>Tabelle581021[[#This Row],[Realisatie]]</f>
        <v>0</v>
      </c>
      <c r="P109" s="39">
        <f>Tabelle581021[[#This Row],[Doel]]</f>
        <v>6.08928571428571</v>
      </c>
    </row>
    <row r="110" spans="2:16" x14ac:dyDescent="0.35">
      <c r="B110" s="46">
        <v>44593</v>
      </c>
      <c r="C110" s="47">
        <f t="shared" si="6"/>
        <v>0</v>
      </c>
      <c r="D110" s="47">
        <f t="shared" si="7"/>
        <v>1032.919547346416</v>
      </c>
      <c r="F110" s="46">
        <v>44593</v>
      </c>
      <c r="G110" s="47">
        <f>G109+Tabelle5810[[#This Row],[Realisatie]]</f>
        <v>5426.9197160000012</v>
      </c>
      <c r="H110" s="47">
        <f>H109+Tabelle5810[[#This Row],[Doel]]</f>
        <v>10760.115020810572</v>
      </c>
      <c r="J110" s="46">
        <v>44593</v>
      </c>
      <c r="K110" s="39"/>
      <c r="L110" s="39">
        <v>6.25</v>
      </c>
      <c r="N110" s="46">
        <v>44593</v>
      </c>
      <c r="O110" s="39">
        <f>Tabelle581021[[#This Row],[Realisatie]]</f>
        <v>0</v>
      </c>
      <c r="P110" s="39">
        <f>Tabelle581021[[#This Row],[Doel]]</f>
        <v>6.25</v>
      </c>
    </row>
    <row r="111" spans="2:16" x14ac:dyDescent="0.35">
      <c r="B111" s="46">
        <v>44621</v>
      </c>
      <c r="C111" s="47">
        <f t="shared" si="6"/>
        <v>0</v>
      </c>
      <c r="D111" s="47">
        <f t="shared" si="7"/>
        <v>1136.2115020810577</v>
      </c>
      <c r="F111" s="46">
        <v>44621</v>
      </c>
      <c r="G111" s="47">
        <f>G110+Tabelle5810[[#This Row],[Realisatie]]</f>
        <v>5426.9197160000012</v>
      </c>
      <c r="H111" s="47">
        <f>H110+Tabelle5810[[#This Row],[Doel]]</f>
        <v>11896.32652289163</v>
      </c>
      <c r="J111" s="46">
        <v>44621</v>
      </c>
      <c r="K111" s="39"/>
      <c r="L111" s="39">
        <v>6.41071428571429</v>
      </c>
      <c r="N111" s="46">
        <v>44621</v>
      </c>
      <c r="O111" s="39">
        <f>Tabelle581021[[#This Row],[Realisatie]]</f>
        <v>0</v>
      </c>
      <c r="P111" s="39">
        <f>Tabelle581021[[#This Row],[Doel]]</f>
        <v>6.41071428571429</v>
      </c>
    </row>
    <row r="112" spans="2:16" x14ac:dyDescent="0.35">
      <c r="B112" s="46">
        <v>44652</v>
      </c>
      <c r="C112" s="47">
        <f t="shared" si="6"/>
        <v>0</v>
      </c>
      <c r="D112" s="47">
        <f t="shared" si="7"/>
        <v>1249.8326522891637</v>
      </c>
      <c r="F112" s="46">
        <v>44652</v>
      </c>
      <c r="G112" s="47">
        <f>G111+Tabelle5810[[#This Row],[Realisatie]]</f>
        <v>5426.9197160000012</v>
      </c>
      <c r="H112" s="47">
        <f>H111+Tabelle5810[[#This Row],[Doel]]</f>
        <v>13146.159175180794</v>
      </c>
      <c r="J112" s="46">
        <v>44652</v>
      </c>
      <c r="K112" s="39"/>
      <c r="L112" s="39">
        <v>6.5714285714285703</v>
      </c>
      <c r="N112" s="46">
        <v>44652</v>
      </c>
      <c r="O112" s="39">
        <f>Tabelle581021[[#This Row],[Realisatie]]</f>
        <v>0</v>
      </c>
      <c r="P112" s="39">
        <f>Tabelle581021[[#This Row],[Doel]]</f>
        <v>6.5714285714285703</v>
      </c>
    </row>
    <row r="113" spans="2:32" x14ac:dyDescent="0.35">
      <c r="B113" s="46">
        <v>44682</v>
      </c>
      <c r="C113" s="47">
        <f t="shared" si="6"/>
        <v>0</v>
      </c>
      <c r="D113" s="47">
        <f t="shared" si="7"/>
        <v>1374.8159175180801</v>
      </c>
      <c r="F113" s="46">
        <v>44682</v>
      </c>
      <c r="G113" s="47">
        <f>G112+Tabelle5810[[#This Row],[Realisatie]]</f>
        <v>5426.9197160000012</v>
      </c>
      <c r="H113" s="47">
        <f>H112+Tabelle5810[[#This Row],[Doel]]</f>
        <v>14520.975092698875</v>
      </c>
      <c r="J113" s="46">
        <v>44682</v>
      </c>
      <c r="K113" s="39"/>
      <c r="L113" s="39">
        <v>6.7321428571428603</v>
      </c>
      <c r="N113" s="46">
        <v>44682</v>
      </c>
      <c r="O113" s="39">
        <f>Tabelle581021[[#This Row],[Realisatie]]</f>
        <v>0</v>
      </c>
      <c r="P113" s="39">
        <f>Tabelle581021[[#This Row],[Doel]]</f>
        <v>6.7321428571428603</v>
      </c>
    </row>
    <row r="114" spans="2:32" x14ac:dyDescent="0.35">
      <c r="B114" s="46">
        <v>44713</v>
      </c>
      <c r="C114" s="47">
        <f t="shared" si="6"/>
        <v>0</v>
      </c>
      <c r="D114" s="47">
        <f t="shared" si="7"/>
        <v>1512.2975092698882</v>
      </c>
      <c r="F114" s="46">
        <v>44713</v>
      </c>
      <c r="G114" s="47">
        <f>G113+Tabelle5810[[#This Row],[Realisatie]]</f>
        <v>5426.9197160000012</v>
      </c>
      <c r="H114" s="47">
        <f>H113+Tabelle5810[[#This Row],[Doel]]</f>
        <v>16033.272601968763</v>
      </c>
      <c r="J114" s="46">
        <v>44713</v>
      </c>
      <c r="K114" s="39"/>
      <c r="L114" s="39">
        <v>6.8928571428571397</v>
      </c>
      <c r="N114" s="46">
        <v>44713</v>
      </c>
      <c r="O114" s="39">
        <f>Tabelle581021[[#This Row],[Realisatie]]</f>
        <v>0</v>
      </c>
      <c r="P114" s="39">
        <f>Tabelle581021[[#This Row],[Doel]]</f>
        <v>6.8928571428571397</v>
      </c>
    </row>
    <row r="115" spans="2:32" x14ac:dyDescent="0.35">
      <c r="B115" s="46">
        <v>44743</v>
      </c>
      <c r="C115" s="47">
        <f t="shared" si="6"/>
        <v>0</v>
      </c>
      <c r="D115" s="47">
        <f t="shared" si="7"/>
        <v>1663.5272601968773</v>
      </c>
      <c r="F115" s="46">
        <v>44743</v>
      </c>
      <c r="G115" s="47">
        <f>G114+Tabelle5810[[#This Row],[Realisatie]]</f>
        <v>5426.9197160000012</v>
      </c>
      <c r="H115" s="47">
        <f>H114+Tabelle5810[[#This Row],[Doel]]</f>
        <v>17696.799862165641</v>
      </c>
      <c r="J115" s="46">
        <v>44743</v>
      </c>
      <c r="K115" s="39"/>
      <c r="L115" s="39">
        <v>7.0535714285714297</v>
      </c>
      <c r="N115" s="46">
        <v>44743</v>
      </c>
      <c r="O115" s="39">
        <f>Tabelle581021[[#This Row],[Realisatie]]</f>
        <v>0</v>
      </c>
      <c r="P115" s="39">
        <f>Tabelle581021[[#This Row],[Doel]]</f>
        <v>7.0535714285714297</v>
      </c>
    </row>
    <row r="116" spans="2:32" x14ac:dyDescent="0.35">
      <c r="B116" s="46">
        <v>44774</v>
      </c>
      <c r="C116" s="47">
        <f t="shared" si="6"/>
        <v>0</v>
      </c>
      <c r="D116" s="47">
        <f t="shared" si="7"/>
        <v>2066.1300115537606</v>
      </c>
      <c r="F116" s="46">
        <v>44774</v>
      </c>
      <c r="G116" s="47">
        <f>G115+Tabelle5810[[#This Row],[Realisatie]]</f>
        <v>5426.9197160000012</v>
      </c>
      <c r="H116" s="47">
        <f>H115+Tabelle5810[[#This Row],[Doel]]</f>
        <v>19762.9298737194</v>
      </c>
      <c r="J116" s="46">
        <v>44774</v>
      </c>
      <c r="L116" s="39">
        <v>7.0535714285714297</v>
      </c>
      <c r="N116" s="46">
        <v>44774</v>
      </c>
      <c r="O116" s="39">
        <f>Tabelle581021[[#This Row],[Realisatie]]</f>
        <v>0</v>
      </c>
      <c r="P116" s="39">
        <f>Tabelle581021[[#This Row],[Doel]]</f>
        <v>7.0535714285714297</v>
      </c>
    </row>
    <row r="117" spans="2:32" x14ac:dyDescent="0.35">
      <c r="B117" s="46">
        <v>44805</v>
      </c>
      <c r="C117" s="47">
        <f t="shared" si="6"/>
        <v>0</v>
      </c>
      <c r="D117" s="47">
        <f t="shared" si="7"/>
        <v>1912.7430127091368</v>
      </c>
      <c r="F117" s="46">
        <v>44805</v>
      </c>
      <c r="G117" s="47">
        <f>G116+Tabelle5810[[#This Row],[Realisatie]]</f>
        <v>5426.9197160000012</v>
      </c>
      <c r="H117" s="47">
        <f>H116+Tabelle5810[[#This Row],[Doel]]</f>
        <v>21675.672886428536</v>
      </c>
      <c r="J117" s="46">
        <v>44805</v>
      </c>
      <c r="L117" s="39">
        <v>7.0535714285714297</v>
      </c>
      <c r="N117" s="46">
        <v>44805</v>
      </c>
      <c r="O117" s="39">
        <f>Tabelle581021[[#This Row],[Realisatie]]</f>
        <v>0</v>
      </c>
      <c r="P117" s="39">
        <f>Tabelle581021[[#This Row],[Doel]]</f>
        <v>7.0535714285714297</v>
      </c>
    </row>
    <row r="118" spans="2:32" x14ac:dyDescent="0.35">
      <c r="B118" s="46">
        <v>44835</v>
      </c>
      <c r="C118" s="47">
        <f t="shared" si="6"/>
        <v>0</v>
      </c>
      <c r="D118" s="47">
        <f t="shared" si="7"/>
        <v>1744.0173139800504</v>
      </c>
      <c r="F118" s="46">
        <v>44835</v>
      </c>
      <c r="G118" s="47">
        <f>G117+Tabelle5810[[#This Row],[Realisatie]]</f>
        <v>5426.9197160000012</v>
      </c>
      <c r="H118" s="47">
        <f>H117+Tabelle5810[[#This Row],[Doel]]</f>
        <v>23419.690200408586</v>
      </c>
      <c r="J118" s="46">
        <v>44835</v>
      </c>
      <c r="L118" s="39">
        <v>7.0535714285714297</v>
      </c>
      <c r="N118" s="46">
        <v>44835</v>
      </c>
      <c r="O118" s="39">
        <f>Tabelle581021[[#This Row],[Realisatie]]</f>
        <v>0</v>
      </c>
      <c r="P118" s="39">
        <f>Tabelle581021[[#This Row],[Doel]]</f>
        <v>7.0535714285714297</v>
      </c>
    </row>
    <row r="119" spans="2:32" x14ac:dyDescent="0.35">
      <c r="B119" s="46">
        <v>44866</v>
      </c>
      <c r="C119" s="47">
        <f t="shared" si="6"/>
        <v>0</v>
      </c>
      <c r="D119" s="47">
        <f t="shared" si="7"/>
        <v>1558.4190453780552</v>
      </c>
      <c r="F119" s="46">
        <v>44866</v>
      </c>
      <c r="G119" s="47">
        <f>G118+Tabelle5810[[#This Row],[Realisatie]]</f>
        <v>5426.9197160000012</v>
      </c>
      <c r="H119" s="47">
        <f>H118+Tabelle5810[[#This Row],[Doel]]</f>
        <v>24978.10924578664</v>
      </c>
      <c r="J119" s="46">
        <v>44866</v>
      </c>
      <c r="L119" s="39">
        <v>7.0535714285714297</v>
      </c>
      <c r="N119" s="46">
        <v>44866</v>
      </c>
      <c r="O119" s="39">
        <f>Tabelle581021[[#This Row],[Realisatie]]</f>
        <v>0</v>
      </c>
      <c r="P119" s="39">
        <f>Tabelle581021[[#This Row],[Doel]]</f>
        <v>7.0535714285714297</v>
      </c>
    </row>
    <row r="120" spans="2:32" x14ac:dyDescent="0.35">
      <c r="B120" s="46">
        <v>44896</v>
      </c>
      <c r="C120" s="47">
        <f t="shared" si="6"/>
        <v>0</v>
      </c>
      <c r="D120" s="47">
        <f t="shared" si="7"/>
        <v>1354.2609499158602</v>
      </c>
      <c r="F120" s="46">
        <v>44896</v>
      </c>
      <c r="G120" s="47">
        <f>G119+Tabelle5810[[#This Row],[Realisatie]]</f>
        <v>5426.9197160000012</v>
      </c>
      <c r="H120" s="47">
        <f>H119+Tabelle5810[[#This Row],[Doel]]</f>
        <v>26332.3701957025</v>
      </c>
      <c r="J120" s="46">
        <v>44896</v>
      </c>
      <c r="L120" s="39">
        <v>7.0535714285714297</v>
      </c>
      <c r="N120" s="46">
        <v>44896</v>
      </c>
      <c r="O120" s="39">
        <f>Tabelle581021[[#This Row],[Realisatie]]</f>
        <v>0</v>
      </c>
      <c r="P120" s="39">
        <f>Tabelle581021[[#This Row],[Doel]]</f>
        <v>7.0535714285714297</v>
      </c>
    </row>
    <row r="123" spans="2:32" x14ac:dyDescent="0.35">
      <c r="B123" s="27" t="str">
        <f>Dropdown!C6</f>
        <v>Surplus quotum</v>
      </c>
      <c r="C123" s="27" t="s">
        <v>0</v>
      </c>
      <c r="F123" s="27" t="str">
        <f>B123</f>
        <v>Surplus quotum</v>
      </c>
      <c r="G123" s="27" t="s">
        <v>1</v>
      </c>
      <c r="J123" s="27" t="str">
        <f>Dropdown!C11</f>
        <v>Conversie</v>
      </c>
      <c r="K123" s="27" t="s">
        <v>0</v>
      </c>
      <c r="N123" s="27" t="str">
        <f>J123</f>
        <v>Conversie</v>
      </c>
      <c r="O123" s="27" t="s">
        <v>1</v>
      </c>
    </row>
    <row r="124" spans="2:32" x14ac:dyDescent="0.35">
      <c r="B124" s="27" t="s">
        <v>35</v>
      </c>
      <c r="C124" s="27" t="s">
        <v>33</v>
      </c>
      <c r="D124" s="27" t="s">
        <v>34</v>
      </c>
      <c r="F124" s="27" t="s">
        <v>35</v>
      </c>
      <c r="G124" s="27" t="s">
        <v>33</v>
      </c>
      <c r="H124" s="27" t="s">
        <v>34</v>
      </c>
      <c r="J124" s="27" t="s">
        <v>35</v>
      </c>
      <c r="K124" s="27" t="s">
        <v>33</v>
      </c>
      <c r="L124" s="27" t="s">
        <v>34</v>
      </c>
      <c r="N124" s="27" t="s">
        <v>35</v>
      </c>
      <c r="O124" s="27" t="s">
        <v>33</v>
      </c>
      <c r="P124" s="27" t="s">
        <v>34</v>
      </c>
    </row>
    <row r="125" spans="2:32" x14ac:dyDescent="0.35">
      <c r="B125" s="46">
        <v>43831</v>
      </c>
      <c r="C125" s="29">
        <f t="shared" ref="C125:D136" si="8">C85/C5</f>
        <v>0.85</v>
      </c>
      <c r="D125" s="29">
        <f t="shared" si="8"/>
        <v>0.77777777777777779</v>
      </c>
      <c r="F125" s="46">
        <v>43831</v>
      </c>
      <c r="G125" s="29">
        <f t="shared" ref="G125:H136" si="9">G85/G5</f>
        <v>0.85</v>
      </c>
      <c r="H125" s="29">
        <f t="shared" si="9"/>
        <v>0.77777777777777779</v>
      </c>
      <c r="J125" s="46">
        <v>43831</v>
      </c>
      <c r="K125" s="29">
        <v>0.01</v>
      </c>
      <c r="L125" s="29">
        <v>0.01</v>
      </c>
      <c r="N125" s="46">
        <v>43831</v>
      </c>
      <c r="O125" s="29">
        <f>Tabelle58101223[[#This Row],[Realisatie]]</f>
        <v>0.01</v>
      </c>
      <c r="P125" s="29">
        <f>Tabelle58101223[[#This Row],[Doel]]</f>
        <v>0.01</v>
      </c>
      <c r="S125" s="29"/>
      <c r="T125" s="29"/>
      <c r="W125" s="29"/>
      <c r="X125" s="29"/>
      <c r="AA125" s="29"/>
      <c r="AB125" s="29"/>
      <c r="AE125" s="29"/>
      <c r="AF125" s="29"/>
    </row>
    <row r="126" spans="2:32" x14ac:dyDescent="0.35">
      <c r="B126" s="46">
        <v>43862</v>
      </c>
      <c r="C126" s="29">
        <f t="shared" si="8"/>
        <v>0.83333333333333337</v>
      </c>
      <c r="D126" s="29">
        <f t="shared" si="8"/>
        <v>0.8</v>
      </c>
      <c r="F126" s="46">
        <v>43862</v>
      </c>
      <c r="G126" s="29">
        <f t="shared" si="9"/>
        <v>0.84090909090909094</v>
      </c>
      <c r="H126" s="29">
        <f t="shared" si="9"/>
        <v>0.78947368421052633</v>
      </c>
      <c r="J126" s="46">
        <v>43862</v>
      </c>
      <c r="K126" s="29">
        <v>1.4999999999999999E-2</v>
      </c>
      <c r="L126" s="29">
        <v>1.4999999999999999E-2</v>
      </c>
      <c r="N126" s="46">
        <v>43862</v>
      </c>
      <c r="O126" s="29">
        <f>Tabelle58101223[[#This Row],[Realisatie]]</f>
        <v>1.4999999999999999E-2</v>
      </c>
      <c r="P126" s="29">
        <f>Tabelle58101223[[#This Row],[Doel]]</f>
        <v>1.4999999999999999E-2</v>
      </c>
      <c r="S126" s="29"/>
      <c r="T126" s="29"/>
      <c r="W126" s="29"/>
      <c r="X126" s="29"/>
      <c r="AA126" s="29"/>
      <c r="AB126" s="29"/>
      <c r="AE126" s="29"/>
      <c r="AF126" s="29"/>
    </row>
    <row r="127" spans="2:32" x14ac:dyDescent="0.35">
      <c r="B127" s="46">
        <v>43891</v>
      </c>
      <c r="C127" s="29">
        <f t="shared" si="8"/>
        <v>0.66666666666666663</v>
      </c>
      <c r="D127" s="29">
        <f t="shared" si="8"/>
        <v>0.8</v>
      </c>
      <c r="F127" s="46">
        <v>43891</v>
      </c>
      <c r="G127" s="29">
        <f t="shared" si="9"/>
        <v>0.8035714285714286</v>
      </c>
      <c r="H127" s="29">
        <f t="shared" si="9"/>
        <v>0.7931034482758621</v>
      </c>
      <c r="J127" s="46">
        <v>43891</v>
      </c>
      <c r="K127" s="29">
        <v>0.02</v>
      </c>
      <c r="L127" s="29">
        <v>0.02</v>
      </c>
      <c r="N127" s="46">
        <v>43891</v>
      </c>
      <c r="O127" s="29">
        <f>Tabelle58101223[[#This Row],[Realisatie]]</f>
        <v>0.02</v>
      </c>
      <c r="P127" s="29">
        <f>Tabelle58101223[[#This Row],[Doel]]</f>
        <v>0.02</v>
      </c>
      <c r="S127" s="29"/>
      <c r="T127" s="29"/>
      <c r="W127" s="29"/>
      <c r="X127" s="29"/>
      <c r="AA127" s="29"/>
      <c r="AB127" s="29"/>
      <c r="AE127" s="29"/>
      <c r="AF127" s="29"/>
    </row>
    <row r="128" spans="2:32" x14ac:dyDescent="0.35">
      <c r="B128" s="46">
        <v>43922</v>
      </c>
      <c r="C128" s="29">
        <f t="shared" si="8"/>
        <v>0.59090909090909094</v>
      </c>
      <c r="D128" s="29">
        <f t="shared" si="8"/>
        <v>0.65</v>
      </c>
      <c r="F128" s="46">
        <v>43922</v>
      </c>
      <c r="G128" s="29">
        <f t="shared" si="9"/>
        <v>0.74358974358974361</v>
      </c>
      <c r="H128" s="29">
        <f t="shared" si="9"/>
        <v>0.75641025641025639</v>
      </c>
      <c r="J128" s="46">
        <v>43922</v>
      </c>
      <c r="K128" s="29">
        <v>3.4000000000000002E-2</v>
      </c>
      <c r="L128" s="29">
        <v>2.5000000000000001E-2</v>
      </c>
      <c r="N128" s="46">
        <v>43922</v>
      </c>
      <c r="O128" s="29">
        <f>Tabelle58101223[[#This Row],[Realisatie]]</f>
        <v>3.4000000000000002E-2</v>
      </c>
      <c r="P128" s="29">
        <f>Tabelle58101223[[#This Row],[Doel]]</f>
        <v>2.5000000000000001E-2</v>
      </c>
      <c r="S128" s="29"/>
      <c r="T128" s="29"/>
      <c r="W128" s="29"/>
      <c r="X128" s="29"/>
      <c r="AA128" s="29"/>
      <c r="AB128" s="29"/>
      <c r="AE128" s="29"/>
      <c r="AF128" s="29"/>
    </row>
    <row r="129" spans="2:32" x14ac:dyDescent="0.35">
      <c r="B129" s="46">
        <v>43952</v>
      </c>
      <c r="C129" s="29">
        <f t="shared" si="8"/>
        <v>0.64516129032258063</v>
      </c>
      <c r="D129" s="29">
        <f t="shared" si="8"/>
        <v>0.70833333333333337</v>
      </c>
      <c r="F129" s="46">
        <v>43952</v>
      </c>
      <c r="G129" s="29">
        <f t="shared" si="9"/>
        <v>0.7155963302752294</v>
      </c>
      <c r="H129" s="29">
        <f t="shared" si="9"/>
        <v>0.74509803921568629</v>
      </c>
      <c r="J129" s="46">
        <v>43952</v>
      </c>
      <c r="K129" s="29">
        <v>1.9E-2</v>
      </c>
      <c r="L129" s="29">
        <v>2.5000000000000001E-2</v>
      </c>
      <c r="N129" s="46">
        <v>43952</v>
      </c>
      <c r="O129" s="29">
        <f>Tabelle58101223[[#This Row],[Realisatie]]</f>
        <v>1.9E-2</v>
      </c>
      <c r="P129" s="29">
        <f>Tabelle58101223[[#This Row],[Doel]]</f>
        <v>2.5000000000000001E-2</v>
      </c>
      <c r="S129" s="29"/>
      <c r="T129" s="29"/>
      <c r="W129" s="29"/>
      <c r="X129" s="29"/>
      <c r="AA129" s="29"/>
      <c r="AB129" s="29"/>
      <c r="AE129" s="29"/>
      <c r="AF129" s="29"/>
    </row>
    <row r="130" spans="2:32" x14ac:dyDescent="0.35">
      <c r="B130" s="46">
        <v>43983</v>
      </c>
      <c r="C130" s="29">
        <f t="shared" si="8"/>
        <v>0.25</v>
      </c>
      <c r="D130" s="29">
        <f t="shared" si="8"/>
        <v>0.73076923076923073</v>
      </c>
      <c r="F130" s="46">
        <v>43983</v>
      </c>
      <c r="G130" s="29">
        <f t="shared" si="9"/>
        <v>0.66942148760330578</v>
      </c>
      <c r="H130" s="29">
        <f t="shared" si="9"/>
        <v>0.7421875</v>
      </c>
      <c r="J130" s="46">
        <v>43983</v>
      </c>
      <c r="K130" s="29">
        <v>2.1999999999999999E-2</v>
      </c>
      <c r="L130" s="29">
        <v>2.5000000000000001E-2</v>
      </c>
      <c r="N130" s="46">
        <v>43983</v>
      </c>
      <c r="O130" s="29">
        <f>Tabelle58101223[[#This Row],[Realisatie]]</f>
        <v>2.1999999999999999E-2</v>
      </c>
      <c r="P130" s="29">
        <f>Tabelle58101223[[#This Row],[Doel]]</f>
        <v>2.5000000000000001E-2</v>
      </c>
      <c r="S130" s="29"/>
      <c r="T130" s="29"/>
      <c r="W130" s="29"/>
      <c r="X130" s="29"/>
      <c r="AA130" s="29"/>
      <c r="AB130" s="29"/>
      <c r="AE130" s="29"/>
      <c r="AF130" s="29"/>
    </row>
    <row r="131" spans="2:32" x14ac:dyDescent="0.35">
      <c r="B131" s="46">
        <v>44013</v>
      </c>
      <c r="C131" s="29">
        <f t="shared" si="8"/>
        <v>0.33333333333333331</v>
      </c>
      <c r="D131" s="29">
        <f t="shared" si="8"/>
        <v>0.75</v>
      </c>
      <c r="F131" s="46">
        <v>44013</v>
      </c>
      <c r="G131" s="29">
        <f t="shared" si="9"/>
        <v>0.64615384615384619</v>
      </c>
      <c r="H131" s="29">
        <f t="shared" si="9"/>
        <v>0.74358974358974361</v>
      </c>
      <c r="J131" s="46">
        <v>44013</v>
      </c>
      <c r="K131" s="29">
        <v>4.0000000000000001E-3</v>
      </c>
      <c r="L131" s="29">
        <v>0.03</v>
      </c>
      <c r="N131" s="46">
        <v>44013</v>
      </c>
      <c r="O131" s="29">
        <f>Tabelle58101223[[#This Row],[Realisatie]]</f>
        <v>4.0000000000000001E-3</v>
      </c>
      <c r="P131" s="29">
        <f>Tabelle58101223[[#This Row],[Doel]]</f>
        <v>0.03</v>
      </c>
      <c r="S131" s="29"/>
      <c r="T131" s="29"/>
      <c r="W131" s="29"/>
      <c r="X131" s="29"/>
      <c r="AA131" s="29"/>
      <c r="AB131" s="29"/>
      <c r="AE131" s="29"/>
      <c r="AF131" s="29"/>
    </row>
    <row r="132" spans="2:32" x14ac:dyDescent="0.35">
      <c r="B132" s="46">
        <v>44044</v>
      </c>
      <c r="C132" s="29">
        <f t="shared" si="8"/>
        <v>-0.75</v>
      </c>
      <c r="D132" s="29">
        <f t="shared" si="8"/>
        <v>0.6785714285714286</v>
      </c>
      <c r="F132" s="46">
        <v>44044</v>
      </c>
      <c r="G132" s="29">
        <f t="shared" si="9"/>
        <v>0.56521739130434778</v>
      </c>
      <c r="H132" s="29">
        <f t="shared" si="9"/>
        <v>0.73369565217391308</v>
      </c>
      <c r="J132" s="46">
        <v>44044</v>
      </c>
      <c r="K132" s="29">
        <v>0.01</v>
      </c>
      <c r="L132" s="29">
        <v>0.03</v>
      </c>
      <c r="N132" s="46">
        <v>44044</v>
      </c>
      <c r="O132" s="29">
        <f>Tabelle58101223[[#This Row],[Realisatie]]</f>
        <v>0.01</v>
      </c>
      <c r="P132" s="29">
        <f>Tabelle58101223[[#This Row],[Doel]]</f>
        <v>0.03</v>
      </c>
      <c r="S132" s="29"/>
      <c r="T132" s="29"/>
      <c r="W132" s="29"/>
      <c r="X132" s="29"/>
      <c r="AA132" s="29"/>
      <c r="AB132" s="29"/>
      <c r="AE132" s="29"/>
      <c r="AF132" s="29"/>
    </row>
    <row r="133" spans="2:32" x14ac:dyDescent="0.35">
      <c r="B133" s="46">
        <v>44075</v>
      </c>
      <c r="C133" s="29">
        <f t="shared" si="8"/>
        <v>0.62790697674418605</v>
      </c>
      <c r="D133" s="29">
        <f t="shared" si="8"/>
        <v>0.6785714285714286</v>
      </c>
      <c r="F133" s="46">
        <v>44075</v>
      </c>
      <c r="G133" s="29">
        <f t="shared" si="9"/>
        <v>0.58011049723756902</v>
      </c>
      <c r="H133" s="29">
        <f t="shared" si="9"/>
        <v>0.72641509433962259</v>
      </c>
      <c r="J133" s="46">
        <v>44075</v>
      </c>
      <c r="K133" s="29">
        <v>0.02</v>
      </c>
      <c r="L133" s="29">
        <v>0.03</v>
      </c>
      <c r="N133" s="46">
        <v>44075</v>
      </c>
      <c r="O133" s="29">
        <f>Tabelle58101223[[#This Row],[Realisatie]]</f>
        <v>0.02</v>
      </c>
      <c r="P133" s="29">
        <f>Tabelle58101223[[#This Row],[Doel]]</f>
        <v>0.03</v>
      </c>
      <c r="S133" s="29"/>
      <c r="T133" s="29"/>
      <c r="W133" s="29"/>
      <c r="X133" s="29"/>
      <c r="AA133" s="29"/>
      <c r="AB133" s="29"/>
      <c r="AE133" s="29"/>
      <c r="AF133" s="29"/>
    </row>
    <row r="134" spans="2:32" x14ac:dyDescent="0.35">
      <c r="B134" s="46">
        <v>44105</v>
      </c>
      <c r="C134" s="29">
        <f t="shared" si="8"/>
        <v>4.7619047619047616E-2</v>
      </c>
      <c r="D134" s="29">
        <f t="shared" si="8"/>
        <v>0.7</v>
      </c>
      <c r="F134" s="46">
        <v>44105</v>
      </c>
      <c r="G134" s="29">
        <f t="shared" si="9"/>
        <v>0.52475247524752477</v>
      </c>
      <c r="H134" s="29">
        <f t="shared" si="9"/>
        <v>0.72314049586776863</v>
      </c>
      <c r="J134" s="46">
        <v>44105</v>
      </c>
      <c r="K134" s="29">
        <v>0.02</v>
      </c>
      <c r="L134" s="29">
        <v>3.5000000000000003E-2</v>
      </c>
      <c r="N134" s="46">
        <v>44105</v>
      </c>
      <c r="O134" s="29">
        <f>Tabelle58101223[[#This Row],[Realisatie]]</f>
        <v>0.02</v>
      </c>
      <c r="P134" s="29">
        <f>Tabelle58101223[[#This Row],[Doel]]</f>
        <v>3.5000000000000003E-2</v>
      </c>
      <c r="S134" s="29"/>
      <c r="T134" s="29"/>
      <c r="W134" s="29"/>
      <c r="X134" s="29"/>
      <c r="AA134" s="29"/>
      <c r="AB134" s="29"/>
      <c r="AE134" s="29"/>
      <c r="AF134" s="29"/>
    </row>
    <row r="135" spans="2:32" x14ac:dyDescent="0.35">
      <c r="B135" s="46">
        <v>44136</v>
      </c>
      <c r="C135" s="29">
        <f t="shared" si="8"/>
        <v>0.55555555555555558</v>
      </c>
      <c r="D135" s="29">
        <f t="shared" si="8"/>
        <v>0.68421052631578949</v>
      </c>
      <c r="F135" s="46">
        <v>44136</v>
      </c>
      <c r="G135" s="29">
        <f t="shared" si="9"/>
        <v>0.53036437246963564</v>
      </c>
      <c r="H135" s="29">
        <f t="shared" si="9"/>
        <v>0.71785714285714286</v>
      </c>
      <c r="J135" s="46">
        <v>44136</v>
      </c>
      <c r="K135" s="29">
        <v>2.5000000000000001E-2</v>
      </c>
      <c r="L135" s="29">
        <v>0.04</v>
      </c>
      <c r="N135" s="46">
        <v>44136</v>
      </c>
      <c r="O135" s="29">
        <f>Tabelle58101223[[#This Row],[Realisatie]]</f>
        <v>2.5000000000000001E-2</v>
      </c>
      <c r="P135" s="29">
        <f>Tabelle58101223[[#This Row],[Doel]]</f>
        <v>0.04</v>
      </c>
      <c r="S135" s="29"/>
      <c r="T135" s="29"/>
      <c r="W135" s="29"/>
      <c r="X135" s="29"/>
      <c r="AA135" s="29"/>
      <c r="AB135" s="29"/>
      <c r="AE135" s="29"/>
      <c r="AF135" s="29"/>
    </row>
    <row r="136" spans="2:32" x14ac:dyDescent="0.35">
      <c r="B136" s="46">
        <v>44166</v>
      </c>
      <c r="C136" s="29">
        <f t="shared" si="8"/>
        <v>0.6</v>
      </c>
      <c r="D136" s="29">
        <f t="shared" si="8"/>
        <v>0.76</v>
      </c>
      <c r="F136" s="46">
        <v>44166</v>
      </c>
      <c r="G136" s="29">
        <f t="shared" si="9"/>
        <v>0.5439739413680782</v>
      </c>
      <c r="H136" s="29">
        <f t="shared" si="9"/>
        <v>0.72424242424242424</v>
      </c>
      <c r="J136" s="46">
        <v>44166</v>
      </c>
      <c r="K136" s="29">
        <v>0.03</v>
      </c>
      <c r="L136" s="29">
        <v>0.04</v>
      </c>
      <c r="N136" s="46">
        <v>44166</v>
      </c>
      <c r="O136" s="29">
        <f>Tabelle58101223[[#This Row],[Realisatie]]</f>
        <v>0.03</v>
      </c>
      <c r="P136" s="29">
        <f>Tabelle58101223[[#This Row],[Doel]]</f>
        <v>0.04</v>
      </c>
      <c r="S136" s="29"/>
      <c r="T136" s="29"/>
      <c r="W136" s="29"/>
      <c r="X136" s="29"/>
      <c r="AA136" s="29"/>
      <c r="AB136" s="29"/>
      <c r="AE136" s="29"/>
      <c r="AF136" s="29"/>
    </row>
    <row r="137" spans="2:32" x14ac:dyDescent="0.35">
      <c r="B137" s="46">
        <v>44197</v>
      </c>
      <c r="C137" s="29">
        <f t="shared" ref="C137:C160" si="10">C97/C17</f>
        <v>0.6</v>
      </c>
      <c r="D137" s="29">
        <f t="shared" ref="D137:D160" si="11">D97/D17</f>
        <v>0.54400000000000004</v>
      </c>
      <c r="F137" s="46">
        <v>44197</v>
      </c>
      <c r="G137" s="29">
        <f t="shared" ref="G137:G160" si="12">G97/G17</f>
        <v>0.55388739946380694</v>
      </c>
      <c r="H137" s="29">
        <f t="shared" ref="H137:H160" si="13">H97/H17</f>
        <v>0.6984935064935065</v>
      </c>
      <c r="J137" s="46">
        <v>44197</v>
      </c>
      <c r="K137" s="29">
        <v>0.03</v>
      </c>
      <c r="L137" s="29">
        <v>0.05</v>
      </c>
      <c r="N137" s="46">
        <v>44197</v>
      </c>
      <c r="O137" s="49">
        <f>Tabelle58101223[[#This Row],[Realisatie]]</f>
        <v>0.03</v>
      </c>
      <c r="P137" s="49">
        <f>Tabelle58101223[[#This Row],[Doel]]</f>
        <v>0.05</v>
      </c>
      <c r="S137" s="29"/>
      <c r="T137" s="29"/>
      <c r="W137" s="29"/>
      <c r="X137" s="29"/>
      <c r="AA137" s="29"/>
      <c r="AB137" s="29"/>
      <c r="AE137" s="29"/>
      <c r="AF137" s="29"/>
    </row>
    <row r="138" spans="2:32" x14ac:dyDescent="0.35">
      <c r="B138" s="46">
        <v>44228</v>
      </c>
      <c r="C138" s="29">
        <f t="shared" si="10"/>
        <v>0.6</v>
      </c>
      <c r="D138" s="29">
        <f t="shared" si="11"/>
        <v>0.54400000000000004</v>
      </c>
      <c r="F138" s="46">
        <v>44228</v>
      </c>
      <c r="G138" s="29">
        <f t="shared" si="12"/>
        <v>0.56140035906642727</v>
      </c>
      <c r="H138" s="29">
        <f t="shared" si="13"/>
        <v>0.6775129068462401</v>
      </c>
      <c r="J138" s="46">
        <v>44228</v>
      </c>
      <c r="K138" s="29">
        <v>0.03</v>
      </c>
      <c r="L138" s="29">
        <v>0.05</v>
      </c>
      <c r="N138" s="46">
        <v>44228</v>
      </c>
      <c r="O138" s="49">
        <f>Tabelle58101223[[#This Row],[Realisatie]]</f>
        <v>0.03</v>
      </c>
      <c r="P138" s="49">
        <f>Tabelle58101223[[#This Row],[Doel]]</f>
        <v>0.05</v>
      </c>
      <c r="S138" s="29"/>
      <c r="T138" s="29"/>
      <c r="W138" s="29"/>
      <c r="X138" s="29"/>
      <c r="AA138" s="29"/>
      <c r="AB138" s="29"/>
      <c r="AE138" s="29"/>
      <c r="AF138" s="29"/>
    </row>
    <row r="139" spans="2:32" x14ac:dyDescent="0.35">
      <c r="B139" s="46">
        <v>44256</v>
      </c>
      <c r="C139" s="29">
        <f t="shared" si="10"/>
        <v>0.6</v>
      </c>
      <c r="D139" s="29">
        <f t="shared" si="11"/>
        <v>0.54399999999999993</v>
      </c>
      <c r="F139" s="46">
        <v>44256</v>
      </c>
      <c r="G139" s="29">
        <f t="shared" si="12"/>
        <v>0.56726677577741402</v>
      </c>
      <c r="H139" s="29">
        <f t="shared" si="13"/>
        <v>0.66016053119812512</v>
      </c>
      <c r="J139" s="46">
        <v>44256</v>
      </c>
      <c r="K139" s="29">
        <v>0.04</v>
      </c>
      <c r="L139" s="29">
        <v>0.05</v>
      </c>
      <c r="N139" s="46">
        <v>44256</v>
      </c>
      <c r="O139" s="49">
        <f>Tabelle58101223[[#This Row],[Realisatie]]</f>
        <v>0.04</v>
      </c>
      <c r="P139" s="49">
        <f>Tabelle58101223[[#This Row],[Doel]]</f>
        <v>0.05</v>
      </c>
      <c r="S139" s="29"/>
      <c r="T139" s="29"/>
      <c r="W139" s="29"/>
      <c r="X139" s="29"/>
      <c r="AA139" s="29"/>
      <c r="AB139" s="29"/>
      <c r="AE139" s="29"/>
      <c r="AF139" s="29"/>
    </row>
    <row r="140" spans="2:32" x14ac:dyDescent="0.35">
      <c r="B140" s="46">
        <v>44287</v>
      </c>
      <c r="C140" s="29">
        <f t="shared" si="10"/>
        <v>0.60000000000000009</v>
      </c>
      <c r="D140" s="29">
        <f t="shared" si="11"/>
        <v>0.54399999999999993</v>
      </c>
      <c r="F140" s="46">
        <v>44287</v>
      </c>
      <c r="G140" s="29">
        <f t="shared" si="12"/>
        <v>0.57195527191972684</v>
      </c>
      <c r="H140" s="29">
        <f t="shared" si="13"/>
        <v>0.64563091302081999</v>
      </c>
      <c r="J140" s="46">
        <v>44287</v>
      </c>
      <c r="K140" s="29">
        <v>0.04</v>
      </c>
      <c r="L140" s="29">
        <v>0.05</v>
      </c>
      <c r="N140" s="46">
        <v>44287</v>
      </c>
      <c r="O140" s="49">
        <f>Tabelle58101223[[#This Row],[Realisatie]]</f>
        <v>0.04</v>
      </c>
      <c r="P140" s="49">
        <f>Tabelle58101223[[#This Row],[Doel]]</f>
        <v>0.05</v>
      </c>
      <c r="S140" s="29"/>
      <c r="T140" s="29"/>
      <c r="W140" s="29"/>
      <c r="X140" s="29"/>
      <c r="AA140" s="29"/>
      <c r="AB140" s="29"/>
      <c r="AE140" s="29"/>
      <c r="AF140" s="29"/>
    </row>
    <row r="141" spans="2:32" x14ac:dyDescent="0.35">
      <c r="B141" s="46">
        <v>44317</v>
      </c>
      <c r="C141" s="29">
        <f t="shared" si="10"/>
        <v>0.6</v>
      </c>
      <c r="D141" s="29">
        <f t="shared" si="11"/>
        <v>0.54399999999999993</v>
      </c>
      <c r="F141" s="46">
        <v>44317</v>
      </c>
      <c r="G141" s="29">
        <f t="shared" si="12"/>
        <v>0.57577248447255713</v>
      </c>
      <c r="H141" s="29">
        <f t="shared" si="13"/>
        <v>0.63333875353814051</v>
      </c>
      <c r="J141" s="46">
        <v>44317</v>
      </c>
      <c r="K141" s="29">
        <v>0.04</v>
      </c>
      <c r="L141" s="29">
        <v>0.05</v>
      </c>
      <c r="N141" s="46">
        <v>44317</v>
      </c>
      <c r="O141" s="49">
        <f>Tabelle58101223[[#This Row],[Realisatie]]</f>
        <v>0.04</v>
      </c>
      <c r="P141" s="49">
        <f>Tabelle58101223[[#This Row],[Doel]]</f>
        <v>0.05</v>
      </c>
      <c r="S141" s="29"/>
      <c r="T141" s="29"/>
      <c r="W141" s="29"/>
      <c r="X141" s="29"/>
      <c r="AA141" s="29"/>
      <c r="AB141" s="29"/>
      <c r="AE141" s="29"/>
      <c r="AF141" s="29"/>
    </row>
    <row r="142" spans="2:32" x14ac:dyDescent="0.35">
      <c r="B142" s="46">
        <v>44348</v>
      </c>
      <c r="C142" s="29">
        <f t="shared" si="10"/>
        <v>0.6</v>
      </c>
      <c r="D142" s="29">
        <f t="shared" si="11"/>
        <v>0.54399999999999993</v>
      </c>
      <c r="F142" s="46">
        <v>44348</v>
      </c>
      <c r="G142" s="29">
        <f t="shared" si="12"/>
        <v>0.57892751489022232</v>
      </c>
      <c r="H142" s="29">
        <f t="shared" si="13"/>
        <v>0.62284844680291618</v>
      </c>
      <c r="J142" s="46">
        <v>44348</v>
      </c>
      <c r="K142" s="29">
        <v>0.04</v>
      </c>
      <c r="L142" s="29">
        <v>0.05</v>
      </c>
      <c r="N142" s="46">
        <v>44348</v>
      </c>
      <c r="O142" s="49">
        <f>Tabelle58101223[[#This Row],[Realisatie]]</f>
        <v>0.04</v>
      </c>
      <c r="P142" s="49">
        <f>Tabelle58101223[[#This Row],[Doel]]</f>
        <v>0.05</v>
      </c>
      <c r="S142" s="29"/>
      <c r="T142" s="29"/>
      <c r="W142" s="29"/>
      <c r="X142" s="29"/>
      <c r="AA142" s="29"/>
      <c r="AB142" s="29"/>
      <c r="AE142" s="29"/>
      <c r="AF142" s="29"/>
    </row>
    <row r="143" spans="2:32" x14ac:dyDescent="0.35">
      <c r="B143" s="46">
        <v>44378</v>
      </c>
      <c r="C143" s="29">
        <f t="shared" si="10"/>
        <v>0.6</v>
      </c>
      <c r="D143" s="29">
        <f t="shared" si="11"/>
        <v>0.54399999999999993</v>
      </c>
      <c r="F143" s="46">
        <v>44378</v>
      </c>
      <c r="G143" s="29">
        <f t="shared" si="12"/>
        <v>0.58156787286928124</v>
      </c>
      <c r="H143" s="29">
        <f t="shared" si="13"/>
        <v>0.61382905693070378</v>
      </c>
      <c r="J143" s="46">
        <v>44378</v>
      </c>
      <c r="K143" s="29">
        <v>0.04</v>
      </c>
      <c r="L143" s="29">
        <v>0.05</v>
      </c>
      <c r="N143" s="46">
        <v>44378</v>
      </c>
      <c r="O143" s="49">
        <f>Tabelle58101223[[#This Row],[Realisatie]]</f>
        <v>0.04</v>
      </c>
      <c r="P143" s="49">
        <f>Tabelle58101223[[#This Row],[Doel]]</f>
        <v>0.05</v>
      </c>
      <c r="S143" s="29"/>
      <c r="T143" s="29"/>
      <c r="W143" s="29"/>
      <c r="X143" s="29"/>
      <c r="AA143" s="29"/>
      <c r="AB143" s="29"/>
      <c r="AE143" s="29"/>
      <c r="AF143" s="29"/>
    </row>
    <row r="144" spans="2:32" x14ac:dyDescent="0.35">
      <c r="B144" s="46">
        <v>44409</v>
      </c>
      <c r="C144" s="29" t="e">
        <f>C104/C24</f>
        <v>#DIV/0!</v>
      </c>
      <c r="D144" s="29">
        <f t="shared" si="11"/>
        <v>0.54399999999999982</v>
      </c>
      <c r="F144" s="46">
        <v>44409</v>
      </c>
      <c r="G144" s="29">
        <f t="shared" si="12"/>
        <v>0.58156787286928124</v>
      </c>
      <c r="H144" s="29">
        <f t="shared" si="13"/>
        <v>0.6060246321410232</v>
      </c>
      <c r="J144" s="46">
        <v>44409</v>
      </c>
      <c r="K144" s="29"/>
      <c r="L144" s="29">
        <v>0.05</v>
      </c>
      <c r="N144" s="46">
        <v>44409</v>
      </c>
      <c r="O144" s="49">
        <f>Tabelle58101223[[#This Row],[Realisatie]]</f>
        <v>0</v>
      </c>
      <c r="P144" s="49">
        <f>Tabelle58101223[[#This Row],[Doel]]</f>
        <v>0.05</v>
      </c>
      <c r="S144" s="29"/>
      <c r="T144" s="29"/>
      <c r="W144" s="29"/>
      <c r="X144" s="29"/>
      <c r="AA144" s="29"/>
      <c r="AB144" s="29"/>
      <c r="AE144" s="29"/>
      <c r="AF144" s="29"/>
    </row>
    <row r="145" spans="2:32" x14ac:dyDescent="0.35">
      <c r="B145" s="46">
        <v>44440</v>
      </c>
      <c r="C145" s="29" t="e">
        <f t="shared" si="10"/>
        <v>#DIV/0!</v>
      </c>
      <c r="D145" s="29">
        <f t="shared" si="11"/>
        <v>0.54399999999999982</v>
      </c>
      <c r="F145" s="46">
        <v>44440</v>
      </c>
      <c r="G145" s="29">
        <f t="shared" si="12"/>
        <v>0.58156787286928124</v>
      </c>
      <c r="H145" s="29">
        <f t="shared" si="13"/>
        <v>0.59923408773511222</v>
      </c>
      <c r="J145" s="46">
        <v>44440</v>
      </c>
      <c r="K145" s="29"/>
      <c r="L145" s="29">
        <v>0.05</v>
      </c>
      <c r="N145" s="46">
        <v>44440</v>
      </c>
      <c r="O145" s="49">
        <f>Tabelle58101223[[#This Row],[Realisatie]]</f>
        <v>0</v>
      </c>
      <c r="P145" s="49">
        <f>Tabelle58101223[[#This Row],[Doel]]</f>
        <v>0.05</v>
      </c>
      <c r="S145" s="29"/>
      <c r="T145" s="29"/>
      <c r="W145" s="29"/>
      <c r="X145" s="29"/>
      <c r="AA145" s="29"/>
      <c r="AB145" s="29"/>
      <c r="AE145" s="29"/>
      <c r="AF145" s="29"/>
    </row>
    <row r="146" spans="2:32" x14ac:dyDescent="0.35">
      <c r="B146" s="46">
        <v>44470</v>
      </c>
      <c r="C146" s="29" t="e">
        <f t="shared" si="10"/>
        <v>#DIV/0!</v>
      </c>
      <c r="D146" s="29">
        <f t="shared" si="11"/>
        <v>0.54399999999999993</v>
      </c>
      <c r="F146" s="46">
        <v>44470</v>
      </c>
      <c r="G146" s="29">
        <f t="shared" si="12"/>
        <v>0.58156787286928124</v>
      </c>
      <c r="H146" s="29">
        <f t="shared" si="13"/>
        <v>0.59329724273127515</v>
      </c>
      <c r="J146" s="46">
        <v>44470</v>
      </c>
      <c r="K146" s="29"/>
      <c r="L146" s="29">
        <v>0.05</v>
      </c>
      <c r="N146" s="46">
        <v>44470</v>
      </c>
      <c r="O146" s="49">
        <f>Tabelle58101223[[#This Row],[Realisatie]]</f>
        <v>0</v>
      </c>
      <c r="P146" s="49">
        <f>Tabelle58101223[[#This Row],[Doel]]</f>
        <v>0.05</v>
      </c>
      <c r="S146" s="29"/>
      <c r="T146" s="29"/>
      <c r="W146" s="29"/>
      <c r="X146" s="29"/>
      <c r="AA146" s="29"/>
      <c r="AB146" s="29"/>
      <c r="AE146" s="29"/>
      <c r="AF146" s="29"/>
    </row>
    <row r="147" spans="2:32" x14ac:dyDescent="0.35">
      <c r="B147" s="46">
        <v>44501</v>
      </c>
      <c r="C147" s="29" t="e">
        <f t="shared" si="10"/>
        <v>#DIV/0!</v>
      </c>
      <c r="D147" s="29">
        <f t="shared" si="11"/>
        <v>0.54399999999999982</v>
      </c>
      <c r="F147" s="46">
        <v>44501</v>
      </c>
      <c r="G147" s="29">
        <f t="shared" si="12"/>
        <v>0.58156787286928124</v>
      </c>
      <c r="H147" s="29">
        <f t="shared" si="13"/>
        <v>0.58808492032853366</v>
      </c>
      <c r="J147" s="46">
        <v>44501</v>
      </c>
      <c r="K147" s="29"/>
      <c r="L147" s="29">
        <v>0.05</v>
      </c>
      <c r="N147" s="46">
        <v>44501</v>
      </c>
      <c r="O147" s="49">
        <f>Tabelle58101223[[#This Row],[Realisatie]]</f>
        <v>0</v>
      </c>
      <c r="P147" s="49">
        <f>Tabelle58101223[[#This Row],[Doel]]</f>
        <v>0.05</v>
      </c>
      <c r="S147" s="29"/>
      <c r="T147" s="29"/>
      <c r="W147" s="29"/>
      <c r="X147" s="29"/>
      <c r="AA147" s="29"/>
      <c r="AB147" s="29"/>
      <c r="AE147" s="29"/>
      <c r="AF147" s="29"/>
    </row>
    <row r="148" spans="2:32" x14ac:dyDescent="0.35">
      <c r="B148" s="46">
        <v>44531</v>
      </c>
      <c r="C148" s="29" t="e">
        <f t="shared" si="10"/>
        <v>#DIV/0!</v>
      </c>
      <c r="D148" s="29">
        <f t="shared" si="11"/>
        <v>0.54399999999999993</v>
      </c>
      <c r="F148" s="46">
        <v>44531</v>
      </c>
      <c r="G148" s="29">
        <f t="shared" si="12"/>
        <v>0.58156787286928124</v>
      </c>
      <c r="H148" s="29">
        <f t="shared" si="13"/>
        <v>0.58349179590190636</v>
      </c>
      <c r="J148" s="46">
        <v>44531</v>
      </c>
      <c r="K148" s="29"/>
      <c r="L148" s="29">
        <v>0.05</v>
      </c>
      <c r="N148" s="46">
        <v>44531</v>
      </c>
      <c r="O148" s="49">
        <f>Tabelle58101223[[#This Row],[Realisatie]]</f>
        <v>0</v>
      </c>
      <c r="P148" s="49">
        <f>Tabelle58101223[[#This Row],[Doel]]</f>
        <v>0.05</v>
      </c>
      <c r="S148" s="29"/>
      <c r="T148" s="29"/>
      <c r="W148" s="29"/>
      <c r="X148" s="29"/>
      <c r="AA148" s="29"/>
      <c r="AB148" s="29"/>
      <c r="AE148" s="29"/>
      <c r="AF148" s="29"/>
    </row>
    <row r="149" spans="2:32" x14ac:dyDescent="0.35">
      <c r="B149" s="46">
        <v>44562</v>
      </c>
      <c r="C149" s="29" t="e">
        <f t="shared" si="10"/>
        <v>#DIV/0!</v>
      </c>
      <c r="D149" s="29">
        <f t="shared" si="11"/>
        <v>0.54399999999999993</v>
      </c>
      <c r="F149" s="46">
        <v>44562</v>
      </c>
      <c r="G149" s="29">
        <f t="shared" si="12"/>
        <v>0.58156787286928124</v>
      </c>
      <c r="H149" s="29">
        <f t="shared" si="13"/>
        <v>0.57943114191015865</v>
      </c>
      <c r="J149" s="46">
        <v>44562</v>
      </c>
      <c r="K149" s="29"/>
      <c r="L149" s="29">
        <v>0.05</v>
      </c>
      <c r="N149" s="46">
        <v>44562</v>
      </c>
      <c r="O149" s="49">
        <f>Tabelle58101223[[#This Row],[Realisatie]]</f>
        <v>0</v>
      </c>
      <c r="P149" s="49">
        <f>Tabelle58101223[[#This Row],[Doel]]</f>
        <v>0.05</v>
      </c>
      <c r="S149" s="29"/>
      <c r="T149" s="29"/>
      <c r="W149" s="29"/>
      <c r="X149" s="29"/>
      <c r="AA149" s="29"/>
      <c r="AB149" s="29"/>
      <c r="AE149" s="29"/>
      <c r="AF149" s="29"/>
    </row>
    <row r="150" spans="2:32" x14ac:dyDescent="0.35">
      <c r="B150" s="46">
        <v>44593</v>
      </c>
      <c r="C150" s="29" t="e">
        <f t="shared" si="10"/>
        <v>#DIV/0!</v>
      </c>
      <c r="D150" s="29">
        <f t="shared" si="11"/>
        <v>0.54399999999999993</v>
      </c>
      <c r="F150" s="46">
        <v>44593</v>
      </c>
      <c r="G150" s="29">
        <f t="shared" si="12"/>
        <v>0.58156787286928124</v>
      </c>
      <c r="H150" s="29">
        <f t="shared" si="13"/>
        <v>0.57583090728989506</v>
      </c>
      <c r="J150" s="46">
        <v>44593</v>
      </c>
      <c r="K150" s="29"/>
      <c r="L150" s="29">
        <v>0.05</v>
      </c>
      <c r="N150" s="46">
        <v>44593</v>
      </c>
      <c r="O150" s="49">
        <f>Tabelle58101223[[#This Row],[Realisatie]]</f>
        <v>0</v>
      </c>
      <c r="P150" s="49">
        <f>Tabelle58101223[[#This Row],[Doel]]</f>
        <v>0.05</v>
      </c>
      <c r="S150" s="29"/>
      <c r="T150" s="29"/>
      <c r="W150" s="29"/>
      <c r="X150" s="29"/>
      <c r="AA150" s="29"/>
      <c r="AB150" s="29"/>
      <c r="AE150" s="29"/>
      <c r="AF150" s="29"/>
    </row>
    <row r="151" spans="2:32" x14ac:dyDescent="0.35">
      <c r="B151" s="46">
        <v>44621</v>
      </c>
      <c r="C151" s="29" t="e">
        <f t="shared" si="10"/>
        <v>#DIV/0!</v>
      </c>
      <c r="D151" s="29">
        <f t="shared" si="11"/>
        <v>0.54399999999999993</v>
      </c>
      <c r="F151" s="46">
        <v>44621</v>
      </c>
      <c r="G151" s="29">
        <f t="shared" si="12"/>
        <v>0.58156787286928124</v>
      </c>
      <c r="H151" s="29">
        <f t="shared" si="13"/>
        <v>0.57263075172584821</v>
      </c>
      <c r="J151" s="46">
        <v>44621</v>
      </c>
      <c r="K151" s="29"/>
      <c r="L151" s="29">
        <v>0.05</v>
      </c>
      <c r="N151" s="46">
        <v>44621</v>
      </c>
      <c r="O151" s="49">
        <f>Tabelle58101223[[#This Row],[Realisatie]]</f>
        <v>0</v>
      </c>
      <c r="P151" s="49">
        <f>Tabelle58101223[[#This Row],[Doel]]</f>
        <v>0.05</v>
      </c>
      <c r="S151" s="29"/>
      <c r="T151" s="29"/>
      <c r="W151" s="29"/>
      <c r="X151" s="29"/>
      <c r="AA151" s="29"/>
      <c r="AB151" s="29"/>
      <c r="AE151" s="29"/>
      <c r="AF151" s="29"/>
    </row>
    <row r="152" spans="2:32" x14ac:dyDescent="0.35">
      <c r="B152" s="46">
        <v>44652</v>
      </c>
      <c r="C152" s="29" t="e">
        <f t="shared" si="10"/>
        <v>#DIV/0!</v>
      </c>
      <c r="D152" s="29">
        <f t="shared" si="11"/>
        <v>0.54399999999999993</v>
      </c>
      <c r="F152" s="46">
        <v>44652</v>
      </c>
      <c r="G152" s="29">
        <f t="shared" si="12"/>
        <v>0.58156787286928124</v>
      </c>
      <c r="H152" s="29">
        <f t="shared" si="13"/>
        <v>0.5697797737666398</v>
      </c>
      <c r="J152" s="46">
        <v>44652</v>
      </c>
      <c r="K152" s="29"/>
      <c r="L152" s="29">
        <v>0.05</v>
      </c>
      <c r="N152" s="46">
        <v>44652</v>
      </c>
      <c r="O152" s="49">
        <f>Tabelle58101223[[#This Row],[Realisatie]]</f>
        <v>0</v>
      </c>
      <c r="P152" s="49">
        <f>Tabelle58101223[[#This Row],[Doel]]</f>
        <v>0.05</v>
      </c>
      <c r="S152" s="29"/>
      <c r="T152" s="29"/>
      <c r="W152" s="29"/>
      <c r="X152" s="29"/>
      <c r="AA152" s="29"/>
      <c r="AB152" s="29"/>
      <c r="AE152" s="29"/>
      <c r="AF152" s="29"/>
    </row>
    <row r="153" spans="2:32" x14ac:dyDescent="0.35">
      <c r="B153" s="46">
        <v>44682</v>
      </c>
      <c r="C153" s="29" t="e">
        <f t="shared" si="10"/>
        <v>#DIV/0!</v>
      </c>
      <c r="D153" s="29">
        <f t="shared" si="11"/>
        <v>0.54399999999999993</v>
      </c>
      <c r="F153" s="46">
        <v>44682</v>
      </c>
      <c r="G153" s="29">
        <f t="shared" si="12"/>
        <v>0.58156787286928124</v>
      </c>
      <c r="H153" s="29">
        <f t="shared" si="13"/>
        <v>0.56723475023444436</v>
      </c>
      <c r="J153" s="46">
        <v>44682</v>
      </c>
      <c r="K153" s="29"/>
      <c r="L153" s="29">
        <v>0.05</v>
      </c>
      <c r="N153" s="46">
        <v>44682</v>
      </c>
      <c r="O153" s="49">
        <f>Tabelle58101223[[#This Row],[Realisatie]]</f>
        <v>0</v>
      </c>
      <c r="P153" s="49">
        <f>Tabelle58101223[[#This Row],[Doel]]</f>
        <v>0.05</v>
      </c>
      <c r="S153" s="29"/>
      <c r="T153" s="29"/>
      <c r="W153" s="29"/>
      <c r="X153" s="29"/>
      <c r="AA153" s="29"/>
      <c r="AB153" s="29"/>
      <c r="AE153" s="29"/>
      <c r="AF153" s="29"/>
    </row>
    <row r="154" spans="2:32" x14ac:dyDescent="0.35">
      <c r="B154" s="46">
        <v>44713</v>
      </c>
      <c r="C154" s="29" t="e">
        <f t="shared" si="10"/>
        <v>#DIV/0!</v>
      </c>
      <c r="D154" s="29">
        <f t="shared" si="11"/>
        <v>0.54399999999999982</v>
      </c>
      <c r="F154" s="46">
        <v>44713</v>
      </c>
      <c r="G154" s="29">
        <f t="shared" si="12"/>
        <v>0.58156787286928124</v>
      </c>
      <c r="H154" s="29">
        <f t="shared" si="13"/>
        <v>0.56495875727750011</v>
      </c>
      <c r="J154" s="46">
        <v>44713</v>
      </c>
      <c r="K154" s="29"/>
      <c r="L154" s="29">
        <v>0.05</v>
      </c>
      <c r="N154" s="46">
        <v>44713</v>
      </c>
      <c r="O154" s="49">
        <f>Tabelle58101223[[#This Row],[Realisatie]]</f>
        <v>0</v>
      </c>
      <c r="P154" s="49">
        <f>Tabelle58101223[[#This Row],[Doel]]</f>
        <v>0.05</v>
      </c>
      <c r="S154" s="29"/>
      <c r="T154" s="29"/>
      <c r="W154" s="29"/>
      <c r="X154" s="29"/>
      <c r="AA154" s="29"/>
      <c r="AB154" s="29"/>
      <c r="AE154" s="29"/>
      <c r="AF154" s="29"/>
    </row>
    <row r="155" spans="2:32" x14ac:dyDescent="0.35">
      <c r="B155" s="46">
        <v>44743</v>
      </c>
      <c r="C155" s="29" t="e">
        <f t="shared" si="10"/>
        <v>#DIV/0!</v>
      </c>
      <c r="D155" s="29">
        <f t="shared" si="11"/>
        <v>0.54399999999999993</v>
      </c>
      <c r="F155" s="46">
        <v>44743</v>
      </c>
      <c r="G155" s="29">
        <f t="shared" si="12"/>
        <v>0.58156787286928124</v>
      </c>
      <c r="H155" s="29">
        <f t="shared" si="13"/>
        <v>0.56292007967534996</v>
      </c>
      <c r="J155" s="46">
        <v>44743</v>
      </c>
      <c r="K155" s="29"/>
      <c r="L155" s="29">
        <v>0.05</v>
      </c>
      <c r="N155" s="46">
        <v>44743</v>
      </c>
      <c r="O155" s="49">
        <f>Tabelle58101223[[#This Row],[Realisatie]]</f>
        <v>0</v>
      </c>
      <c r="P155" s="49">
        <f>Tabelle58101223[[#This Row],[Doel]]</f>
        <v>0.05</v>
      </c>
      <c r="S155" s="29"/>
      <c r="T155" s="29"/>
      <c r="W155" s="29"/>
      <c r="X155" s="29"/>
      <c r="AA155" s="29"/>
      <c r="AB155" s="29"/>
      <c r="AE155" s="29"/>
      <c r="AF155" s="29"/>
    </row>
    <row r="156" spans="2:32" x14ac:dyDescent="0.35">
      <c r="B156" s="46">
        <v>44774</v>
      </c>
      <c r="C156" s="29" t="e">
        <f t="shared" si="10"/>
        <v>#DIV/0!</v>
      </c>
      <c r="D156" s="29">
        <f t="shared" si="11"/>
        <v>0.57392500320937789</v>
      </c>
      <c r="F156" s="46">
        <v>44774</v>
      </c>
      <c r="G156" s="29">
        <f t="shared" si="12"/>
        <v>0.58156787286928124</v>
      </c>
      <c r="H156" s="29">
        <f t="shared" si="13"/>
        <v>0.5640508031861311</v>
      </c>
      <c r="J156" s="46">
        <v>44774</v>
      </c>
      <c r="K156" s="29"/>
      <c r="L156" s="29">
        <v>0.05</v>
      </c>
      <c r="N156" s="46">
        <v>44774</v>
      </c>
      <c r="O156" s="49">
        <f>Tabelle58101223[[#This Row],[Realisatie]]</f>
        <v>0</v>
      </c>
      <c r="P156" s="49">
        <f>Tabelle58101223[[#This Row],[Doel]]</f>
        <v>0.05</v>
      </c>
      <c r="S156" s="29"/>
      <c r="T156" s="29"/>
      <c r="W156" s="29"/>
      <c r="X156" s="29"/>
      <c r="AA156" s="29"/>
      <c r="AB156" s="29"/>
      <c r="AE156" s="29"/>
      <c r="AF156" s="29"/>
    </row>
    <row r="157" spans="2:32" x14ac:dyDescent="0.35">
      <c r="B157" s="46">
        <v>44805</v>
      </c>
      <c r="C157" s="29" t="e">
        <f t="shared" si="10"/>
        <v>#DIV/0!</v>
      </c>
      <c r="D157" s="29">
        <f t="shared" si="11"/>
        <v>0.53131750353031582</v>
      </c>
      <c r="F157" s="46">
        <v>44805</v>
      </c>
      <c r="G157" s="29">
        <f t="shared" si="12"/>
        <v>0.58156787286928124</v>
      </c>
      <c r="H157" s="29">
        <f t="shared" si="13"/>
        <v>0.56100091953595477</v>
      </c>
      <c r="J157" s="46">
        <v>44805</v>
      </c>
      <c r="K157" s="29"/>
      <c r="L157" s="29">
        <v>0.05</v>
      </c>
      <c r="N157" s="46">
        <v>44805</v>
      </c>
      <c r="O157" s="49">
        <f>Tabelle58101223[[#This Row],[Realisatie]]</f>
        <v>0</v>
      </c>
      <c r="P157" s="49">
        <f>Tabelle58101223[[#This Row],[Doel]]</f>
        <v>0.05</v>
      </c>
      <c r="S157" s="29"/>
      <c r="T157" s="29"/>
      <c r="W157" s="29"/>
      <c r="X157" s="29"/>
      <c r="AA157" s="29"/>
      <c r="AB157" s="29"/>
      <c r="AE157" s="29"/>
      <c r="AF157" s="29"/>
    </row>
    <row r="158" spans="2:32" x14ac:dyDescent="0.35">
      <c r="B158" s="46">
        <v>44835</v>
      </c>
      <c r="C158" s="29" t="e">
        <f t="shared" si="10"/>
        <v>#DIV/0!</v>
      </c>
      <c r="D158" s="29">
        <f t="shared" si="11"/>
        <v>0.48444925388334731</v>
      </c>
      <c r="F158" s="46">
        <v>44835</v>
      </c>
      <c r="G158" s="29">
        <f t="shared" si="12"/>
        <v>0.58156787286928124</v>
      </c>
      <c r="H158" s="29">
        <f t="shared" si="13"/>
        <v>0.55447624364361836</v>
      </c>
      <c r="J158" s="46">
        <v>44835</v>
      </c>
      <c r="K158" s="29"/>
      <c r="L158" s="29">
        <v>0.05</v>
      </c>
      <c r="N158" s="46">
        <v>44835</v>
      </c>
      <c r="O158" s="49">
        <f>Tabelle58101223[[#This Row],[Realisatie]]</f>
        <v>0</v>
      </c>
      <c r="P158" s="49">
        <f>Tabelle58101223[[#This Row],[Doel]]</f>
        <v>0.05</v>
      </c>
      <c r="S158" s="29"/>
      <c r="T158" s="29"/>
      <c r="W158" s="29"/>
      <c r="X158" s="29"/>
      <c r="AA158" s="29"/>
      <c r="AB158" s="29"/>
      <c r="AE158" s="29"/>
      <c r="AF158" s="29"/>
    </row>
    <row r="159" spans="2:32" x14ac:dyDescent="0.35">
      <c r="B159" s="46">
        <v>44866</v>
      </c>
      <c r="C159" s="29" t="e">
        <f t="shared" si="10"/>
        <v>#DIV/0!</v>
      </c>
      <c r="D159" s="29">
        <f t="shared" si="11"/>
        <v>0.432894179271682</v>
      </c>
      <c r="F159" s="46">
        <v>44866</v>
      </c>
      <c r="G159" s="29">
        <f t="shared" si="12"/>
        <v>0.58156787286928124</v>
      </c>
      <c r="H159" s="29">
        <f t="shared" si="13"/>
        <v>0.54492739315747962</v>
      </c>
      <c r="J159" s="46">
        <v>44866</v>
      </c>
      <c r="K159" s="29"/>
      <c r="L159" s="29">
        <v>0.05</v>
      </c>
      <c r="N159" s="46">
        <v>44866</v>
      </c>
      <c r="O159" s="49">
        <f>Tabelle58101223[[#This Row],[Realisatie]]</f>
        <v>0</v>
      </c>
      <c r="P159" s="49">
        <f>Tabelle58101223[[#This Row],[Doel]]</f>
        <v>0.05</v>
      </c>
      <c r="S159" s="29"/>
      <c r="T159" s="29"/>
      <c r="W159" s="29"/>
      <c r="X159" s="29"/>
      <c r="AA159" s="29"/>
      <c r="AB159" s="29"/>
      <c r="AE159" s="29"/>
      <c r="AF159" s="29"/>
    </row>
    <row r="160" spans="2:32" x14ac:dyDescent="0.35">
      <c r="B160" s="46">
        <v>44896</v>
      </c>
      <c r="C160" s="29" t="e">
        <f t="shared" si="10"/>
        <v>#DIV/0!</v>
      </c>
      <c r="D160" s="29">
        <f t="shared" si="11"/>
        <v>0.37618359719885008</v>
      </c>
      <c r="F160" s="46">
        <v>44896</v>
      </c>
      <c r="G160" s="29">
        <f t="shared" si="12"/>
        <v>0.58156787286928124</v>
      </c>
      <c r="H160" s="29">
        <f t="shared" si="13"/>
        <v>0.53263960213721273</v>
      </c>
      <c r="J160" s="46">
        <v>44896</v>
      </c>
      <c r="K160" s="29"/>
      <c r="L160" s="29">
        <v>0.05</v>
      </c>
      <c r="N160" s="46">
        <v>44896</v>
      </c>
      <c r="O160" s="49">
        <f>Tabelle58101223[[#This Row],[Realisatie]]</f>
        <v>0</v>
      </c>
      <c r="P160" s="49">
        <f>Tabelle58101223[[#This Row],[Doel]]</f>
        <v>0.05</v>
      </c>
      <c r="S160" s="29"/>
      <c r="T160" s="29"/>
      <c r="W160" s="29"/>
      <c r="X160" s="29"/>
      <c r="AA160" s="29"/>
      <c r="AB160" s="29"/>
      <c r="AE160" s="29"/>
      <c r="AF160" s="29"/>
    </row>
    <row r="161" spans="2:32" x14ac:dyDescent="0.35">
      <c r="C161" s="29"/>
      <c r="D161" s="29"/>
      <c r="G161" s="29"/>
      <c r="H161" s="29"/>
      <c r="K161" s="29"/>
      <c r="L161" s="29"/>
      <c r="O161" s="29"/>
      <c r="P161" s="29"/>
      <c r="S161" s="29"/>
      <c r="T161" s="29"/>
      <c r="W161" s="29"/>
      <c r="X161" s="29"/>
      <c r="AA161" s="29"/>
      <c r="AB161" s="29"/>
      <c r="AE161" s="29"/>
      <c r="AF161" s="29"/>
    </row>
    <row r="163" spans="2:32" x14ac:dyDescent="0.35">
      <c r="B163" s="27" t="s">
        <v>35</v>
      </c>
      <c r="C163" s="27" t="s">
        <v>33</v>
      </c>
      <c r="D163" s="27" t="s">
        <v>34</v>
      </c>
      <c r="F163" s="27" t="s">
        <v>35</v>
      </c>
      <c r="G163" s="27" t="s">
        <v>33</v>
      </c>
      <c r="H163" s="27" t="s">
        <v>34</v>
      </c>
      <c r="J163" s="27" t="s">
        <v>35</v>
      </c>
      <c r="K163" s="27" t="s">
        <v>33</v>
      </c>
      <c r="L163" s="27" t="s">
        <v>34</v>
      </c>
      <c r="N163" s="27" t="s">
        <v>35</v>
      </c>
      <c r="O163" s="27" t="s">
        <v>33</v>
      </c>
      <c r="P163" s="27" t="s">
        <v>34</v>
      </c>
      <c r="R163" s="27" t="s">
        <v>35</v>
      </c>
      <c r="S163" s="27" t="s">
        <v>33</v>
      </c>
      <c r="T163" s="27" t="s">
        <v>34</v>
      </c>
      <c r="V163" s="27" t="s">
        <v>35</v>
      </c>
      <c r="W163" s="27" t="s">
        <v>33</v>
      </c>
      <c r="X163" s="27" t="s">
        <v>34</v>
      </c>
      <c r="Z163" s="27" t="s">
        <v>35</v>
      </c>
      <c r="AA163" s="27" t="s">
        <v>33</v>
      </c>
      <c r="AB163" s="27" t="s">
        <v>34</v>
      </c>
      <c r="AD163" s="27" t="s">
        <v>35</v>
      </c>
      <c r="AE163" s="27" t="s">
        <v>33</v>
      </c>
      <c r="AF163" s="27" t="s">
        <v>34</v>
      </c>
    </row>
    <row r="164" spans="2:32" x14ac:dyDescent="0.35">
      <c r="B164" s="46">
        <v>43831</v>
      </c>
      <c r="C164" s="30">
        <f>IF(DASHBOARD!$E$7=Data!$B$3,Data!C5,IF(DASHBOARD!$E$7=Data!$B$43,C45,IF(DASHBOARD!$E$7=Data!$B$83,Data!C85,IF(DASHBOARD!$E$7=Data!$B$123,Data!C125,""))))</f>
        <v>200</v>
      </c>
      <c r="D164" s="30">
        <f>IF(DASHBOARD!$E$7=Data!$B$3,Data!D5,IF(DASHBOARD!$E$7=Data!$B$43,D45,IF(DASHBOARD!$E$7=Data!$B$83,Data!D85,IF(DASHBOARD!$E$7=Data!$B$123,Data!D125,""))))</f>
        <v>180</v>
      </c>
      <c r="F164" s="46">
        <v>43831</v>
      </c>
      <c r="G164" s="30">
        <f>Tabelle58101214[[#This Row],[Realisatie]]</f>
        <v>200</v>
      </c>
      <c r="H164" s="30">
        <f>Tabelle58101214[[#This Row],[Doel]]</f>
        <v>180</v>
      </c>
      <c r="J164" s="46">
        <v>43831</v>
      </c>
      <c r="K164" s="30">
        <f>IF(DASHBOARD!$J$7=Data!$J$3,Data!K5,IF(DASHBOARD!$J$7=Data!$J$43,K45,IF(DASHBOARD!$J$7=Data!$J$83,Data!K85,IF(DASHBOARD!$J$7=Data!$J$123,Data!K125,""))))</f>
        <v>10000</v>
      </c>
      <c r="L164" s="30">
        <f>IF(DASHBOARD!$J$7=Data!$J$3,Data!L5,IF(DASHBOARD!$J$7=Data!$J$43,L45,IF(DASHBOARD!$J$7=Data!$J$83,Data!L85,IF(DASHBOARD!$J$7=Data!$J$123,Data!L125,""))))</f>
        <v>9000</v>
      </c>
      <c r="N164" s="46">
        <v>43831</v>
      </c>
      <c r="O164" s="30">
        <f>Tabelle5810121425[[#This Row],[Realisatie]]</f>
        <v>10000</v>
      </c>
      <c r="P164" s="30">
        <f>Tabelle5810121425[[#This Row],[Doel]]</f>
        <v>9000</v>
      </c>
      <c r="R164" s="46">
        <v>43831</v>
      </c>
      <c r="S164" s="30">
        <f>IF(DASHBOARD!$E$21=Data!$R$3,Data!S5,IF(DASHBOARD!$E$21=Data!$R$43,Data!S45,""))</f>
        <v>5</v>
      </c>
      <c r="T164" s="30">
        <f>IF(DASHBOARD!$E$21=Data!$R$3,Data!T5,IF(DASHBOARD!$E$21=Data!$R$43,Data!T45,""))</f>
        <v>4</v>
      </c>
      <c r="V164" s="46">
        <v>43831</v>
      </c>
      <c r="W164" s="30">
        <f>Tabelle5810121436[[#This Row],[Realisatie]]</f>
        <v>5</v>
      </c>
      <c r="X164" s="30">
        <f>Tabelle5810121436[[#This Row],[Doel]]</f>
        <v>4</v>
      </c>
      <c r="Z164" s="46">
        <v>43831</v>
      </c>
      <c r="AA164" s="30">
        <f>IF(DASHBOARD!$J$21=Data!$Z$3,Data!AA5,IF(DASHBOARD!$J$21=Data!$Z$43,Data!AA45,""))</f>
        <v>20</v>
      </c>
      <c r="AB164" s="30">
        <f>IF(DASHBOARD!$J$21=Data!$Z$3,Data!AB5,IF(DASHBOARD!$J$21=Data!$Z$43,Data!AB45,""))</f>
        <v>20</v>
      </c>
      <c r="AD164" s="46">
        <v>43831</v>
      </c>
      <c r="AE164" s="30">
        <f>Tabelle581012143643[[#This Row],[Realisatie]]</f>
        <v>20</v>
      </c>
      <c r="AF164" s="30">
        <f>Tabelle581012143643[[#This Row],[Doel]]</f>
        <v>20</v>
      </c>
    </row>
    <row r="165" spans="2:32" x14ac:dyDescent="0.35">
      <c r="B165" s="46">
        <v>43862</v>
      </c>
      <c r="C165" s="30">
        <f>IF(DASHBOARD!$E$7=Data!$B$3,Data!C6,IF(DASHBOARD!$E$7=Data!$B$43,C46,IF(DASHBOARD!$E$7=Data!$B$83,Data!C86,IF(DASHBOARD!$E$7=Data!$B$123,Data!C126,""))))</f>
        <v>240</v>
      </c>
      <c r="D165" s="30">
        <f>IF(DASHBOARD!$E$7=Data!$B$3,Data!D6,IF(DASHBOARD!$E$7=Data!$B$43,D46,IF(DASHBOARD!$E$7=Data!$B$83,Data!D86,IF(DASHBOARD!$E$7=Data!$B$123,Data!D126,""))))</f>
        <v>200</v>
      </c>
      <c r="F165" s="46">
        <v>43862</v>
      </c>
      <c r="G165" s="30">
        <f>G164+C165</f>
        <v>440</v>
      </c>
      <c r="H165" s="30">
        <f>H164+D165</f>
        <v>380</v>
      </c>
      <c r="J165" s="46">
        <v>43862</v>
      </c>
      <c r="K165" s="30">
        <f>IF(DASHBOARD!$J$7=Data!$J$3,Data!K6,IF(DASHBOARD!$J$7=Data!$J$43,K46,IF(DASHBOARD!$J$7=Data!$J$83,Data!K86,IF(DASHBOARD!$J$7=Data!$J$123,Data!K126,""))))</f>
        <v>14000</v>
      </c>
      <c r="L165" s="30">
        <f>IF(DASHBOARD!$J$7=Data!$J$3,Data!L6,IF(DASHBOARD!$J$7=Data!$J$43,L46,IF(DASHBOARD!$J$7=Data!$J$83,Data!L86,IF(DASHBOARD!$J$7=Data!$J$123,Data!L126,""))))</f>
        <v>11000</v>
      </c>
      <c r="N165" s="46">
        <v>43862</v>
      </c>
      <c r="O165" s="30">
        <f>O164+K165</f>
        <v>24000</v>
      </c>
      <c r="P165" s="30">
        <f>P164+L165</f>
        <v>20000</v>
      </c>
      <c r="R165" s="46">
        <v>43862</v>
      </c>
      <c r="S165" s="30">
        <f>IF(DASHBOARD!$E$21=Data!$R$3,Data!S6,IF(DASHBOARD!$E$21=Data!$R$43,Data!S46,""))</f>
        <v>4</v>
      </c>
      <c r="T165" s="30">
        <f>IF(DASHBOARD!$E$21=Data!$R$3,Data!T6,IF(DASHBOARD!$E$21=Data!$R$43,Data!T46,""))</f>
        <v>4</v>
      </c>
      <c r="V165" s="46">
        <v>43862</v>
      </c>
      <c r="W165" s="30">
        <f>W164+S165</f>
        <v>9</v>
      </c>
      <c r="X165" s="30">
        <f>X164+T165</f>
        <v>8</v>
      </c>
      <c r="Z165" s="46">
        <v>43862</v>
      </c>
      <c r="AA165" s="30">
        <f>IF(DASHBOARD!$J$21=Data!$Z$3,Data!AA6,IF(DASHBOARD!$J$21=Data!$Z$43,Data!AA46,""))</f>
        <v>35</v>
      </c>
      <c r="AB165" s="30">
        <f>IF(DASHBOARD!$J$21=Data!$Z$3,Data!AB6,IF(DASHBOARD!$J$21=Data!$Z$43,Data!AB46,""))</f>
        <v>20</v>
      </c>
      <c r="AD165" s="46">
        <v>43862</v>
      </c>
      <c r="AE165" s="30">
        <f>AE164+AA165</f>
        <v>55</v>
      </c>
      <c r="AF165" s="30">
        <f>AF164+AB165</f>
        <v>40</v>
      </c>
    </row>
    <row r="166" spans="2:32" x14ac:dyDescent="0.35">
      <c r="B166" s="46">
        <v>43891</v>
      </c>
      <c r="C166" s="30">
        <f>IF(DASHBOARD!$E$7=Data!$B$3,Data!C7,IF(DASHBOARD!$E$7=Data!$B$43,C47,IF(DASHBOARD!$E$7=Data!$B$83,Data!C87,IF(DASHBOARD!$E$7=Data!$B$123,Data!C127,""))))</f>
        <v>120</v>
      </c>
      <c r="D166" s="30">
        <f>IF(DASHBOARD!$E$7=Data!$B$3,Data!D7,IF(DASHBOARD!$E$7=Data!$B$43,D47,IF(DASHBOARD!$E$7=Data!$B$83,Data!D87,IF(DASHBOARD!$E$7=Data!$B$123,Data!D127,""))))</f>
        <v>200</v>
      </c>
      <c r="F166" s="46">
        <v>43891</v>
      </c>
      <c r="G166" s="30">
        <f t="shared" ref="G166:H175" si="14">G165+C166</f>
        <v>560</v>
      </c>
      <c r="H166" s="30">
        <f t="shared" si="14"/>
        <v>580</v>
      </c>
      <c r="J166" s="46">
        <v>43891</v>
      </c>
      <c r="K166" s="30">
        <f>IF(DASHBOARD!$J$7=Data!$J$3,Data!K7,IF(DASHBOARD!$J$7=Data!$J$43,K47,IF(DASHBOARD!$J$7=Data!$J$83,Data!K87,IF(DASHBOARD!$J$7=Data!$J$123,Data!K127,""))))</f>
        <v>8000</v>
      </c>
      <c r="L166" s="30">
        <f>IF(DASHBOARD!$J$7=Data!$J$3,Data!L7,IF(DASHBOARD!$J$7=Data!$J$43,L47,IF(DASHBOARD!$J$7=Data!$J$83,Data!L87,IF(DASHBOARD!$J$7=Data!$J$123,Data!L127,""))))</f>
        <v>12000</v>
      </c>
      <c r="N166" s="46">
        <v>43891</v>
      </c>
      <c r="O166" s="30">
        <f>O165+K166</f>
        <v>32000</v>
      </c>
      <c r="P166" s="30">
        <f>P165+L166</f>
        <v>32000</v>
      </c>
      <c r="R166" s="46">
        <v>43891</v>
      </c>
      <c r="S166" s="30">
        <f>IF(DASHBOARD!$E$21=Data!$R$3,Data!S7,IF(DASHBOARD!$E$21=Data!$R$43,Data!S47,""))</f>
        <v>4</v>
      </c>
      <c r="T166" s="30">
        <f>IF(DASHBOARD!$E$21=Data!$R$3,Data!T7,IF(DASHBOARD!$E$21=Data!$R$43,Data!T47,""))</f>
        <v>4</v>
      </c>
      <c r="V166" s="46">
        <v>43891</v>
      </c>
      <c r="W166" s="30">
        <f t="shared" ref="W166:W175" si="15">W165+S166</f>
        <v>13</v>
      </c>
      <c r="X166" s="30">
        <f t="shared" ref="X166:X169" si="16">X165+T166</f>
        <v>12</v>
      </c>
      <c r="Z166" s="46">
        <v>43891</v>
      </c>
      <c r="AA166" s="30">
        <f>IF(DASHBOARD!$J$21=Data!$Z$3,Data!AA7,IF(DASHBOARD!$J$21=Data!$Z$43,Data!AA47,""))</f>
        <v>40</v>
      </c>
      <c r="AB166" s="30">
        <f>IF(DASHBOARD!$J$21=Data!$Z$3,Data!AB7,IF(DASHBOARD!$J$21=Data!$Z$43,Data!AB47,""))</f>
        <v>20</v>
      </c>
      <c r="AD166" s="46">
        <v>43891</v>
      </c>
      <c r="AE166" s="30">
        <f t="shared" ref="AE166:AE174" si="17">AE165+AA166</f>
        <v>95</v>
      </c>
      <c r="AF166" s="30">
        <f t="shared" ref="AF166:AF169" si="18">AF165+AB166</f>
        <v>60</v>
      </c>
    </row>
    <row r="167" spans="2:32" x14ac:dyDescent="0.35">
      <c r="B167" s="46">
        <v>43922</v>
      </c>
      <c r="C167" s="30">
        <f>IF(DASHBOARD!$E$7=Data!$B$3,Data!C8,IF(DASHBOARD!$E$7=Data!$B$43,C48,IF(DASHBOARD!$E$7=Data!$B$83,Data!C88,IF(DASHBOARD!$E$7=Data!$B$123,Data!C128,""))))</f>
        <v>220</v>
      </c>
      <c r="D167" s="30">
        <f>IF(DASHBOARD!$E$7=Data!$B$3,Data!D8,IF(DASHBOARD!$E$7=Data!$B$43,D48,IF(DASHBOARD!$E$7=Data!$B$83,Data!D88,IF(DASHBOARD!$E$7=Data!$B$123,Data!D128,""))))</f>
        <v>200</v>
      </c>
      <c r="F167" s="46">
        <v>43922</v>
      </c>
      <c r="G167" s="30">
        <f t="shared" si="14"/>
        <v>780</v>
      </c>
      <c r="H167" s="30">
        <f t="shared" si="14"/>
        <v>780</v>
      </c>
      <c r="J167" s="46">
        <v>43922</v>
      </c>
      <c r="K167" s="30">
        <f>IF(DASHBOARD!$J$7=Data!$J$3,Data!K8,IF(DASHBOARD!$J$7=Data!$J$43,K48,IF(DASHBOARD!$J$7=Data!$J$83,Data!K88,IF(DASHBOARD!$J$7=Data!$J$123,Data!K128,""))))</f>
        <v>7000</v>
      </c>
      <c r="L167" s="30">
        <f>IF(DASHBOARD!$J$7=Data!$J$3,Data!L8,IF(DASHBOARD!$J$7=Data!$J$43,L48,IF(DASHBOARD!$J$7=Data!$J$83,Data!L88,IF(DASHBOARD!$J$7=Data!$J$123,Data!L128,""))))</f>
        <v>13000</v>
      </c>
      <c r="N167" s="46">
        <v>43922</v>
      </c>
      <c r="O167" s="30">
        <f t="shared" ref="O167:P175" si="19">O166+K167</f>
        <v>39000</v>
      </c>
      <c r="P167" s="30">
        <f t="shared" si="19"/>
        <v>45000</v>
      </c>
      <c r="R167" s="46">
        <v>43922</v>
      </c>
      <c r="S167" s="30">
        <f>IF(DASHBOARD!$E$21=Data!$R$3,Data!S8,IF(DASHBOARD!$E$21=Data!$R$43,Data!S48,""))</f>
        <v>3</v>
      </c>
      <c r="T167" s="30">
        <f>IF(DASHBOARD!$E$21=Data!$R$3,Data!T8,IF(DASHBOARD!$E$21=Data!$R$43,Data!T48,""))</f>
        <v>4</v>
      </c>
      <c r="V167" s="46">
        <v>43922</v>
      </c>
      <c r="W167" s="30">
        <f t="shared" si="15"/>
        <v>16</v>
      </c>
      <c r="X167" s="30">
        <f t="shared" si="16"/>
        <v>16</v>
      </c>
      <c r="Z167" s="46">
        <v>43922</v>
      </c>
      <c r="AA167" s="30">
        <f>IF(DASHBOARD!$J$21=Data!$Z$3,Data!AA8,IF(DASHBOARD!$J$21=Data!$Z$43,Data!AA48,""))</f>
        <v>15</v>
      </c>
      <c r="AB167" s="30">
        <f>IF(DASHBOARD!$J$21=Data!$Z$3,Data!AB8,IF(DASHBOARD!$J$21=Data!$Z$43,Data!AB48,""))</f>
        <v>20</v>
      </c>
      <c r="AD167" s="46">
        <v>43922</v>
      </c>
      <c r="AE167" s="30">
        <f t="shared" si="17"/>
        <v>110</v>
      </c>
      <c r="AF167" s="30">
        <f t="shared" si="18"/>
        <v>80</v>
      </c>
    </row>
    <row r="168" spans="2:32" x14ac:dyDescent="0.35">
      <c r="B168" s="46">
        <v>43952</v>
      </c>
      <c r="C168" s="30">
        <f>IF(DASHBOARD!$E$7=Data!$B$3,Data!C9,IF(DASHBOARD!$E$7=Data!$B$43,C49,IF(DASHBOARD!$E$7=Data!$B$83,Data!C89,IF(DASHBOARD!$E$7=Data!$B$123,Data!C129,""))))</f>
        <v>310</v>
      </c>
      <c r="D168" s="30">
        <f>IF(DASHBOARD!$E$7=Data!$B$3,Data!D9,IF(DASHBOARD!$E$7=Data!$B$43,D49,IF(DASHBOARD!$E$7=Data!$B$83,Data!D89,IF(DASHBOARD!$E$7=Data!$B$123,Data!D129,""))))</f>
        <v>240</v>
      </c>
      <c r="F168" s="46">
        <v>43952</v>
      </c>
      <c r="G168" s="30">
        <f t="shared" si="14"/>
        <v>1090</v>
      </c>
      <c r="H168" s="30">
        <f t="shared" si="14"/>
        <v>1020</v>
      </c>
      <c r="J168" s="46">
        <v>43952</v>
      </c>
      <c r="K168" s="30">
        <f>IF(DASHBOARD!$J$7=Data!$J$3,Data!K9,IF(DASHBOARD!$J$7=Data!$J$43,K49,IF(DASHBOARD!$J$7=Data!$J$83,Data!K89,IF(DASHBOARD!$J$7=Data!$J$123,Data!K129,""))))</f>
        <v>7800</v>
      </c>
      <c r="L168" s="30">
        <f>IF(DASHBOARD!$J$7=Data!$J$3,Data!L9,IF(DASHBOARD!$J$7=Data!$J$43,L49,IF(DASHBOARD!$J$7=Data!$J$83,Data!L89,IF(DASHBOARD!$J$7=Data!$J$123,Data!L129,""))))</f>
        <v>14000</v>
      </c>
      <c r="N168" s="46">
        <v>43952</v>
      </c>
      <c r="O168" s="30">
        <f t="shared" si="19"/>
        <v>46800</v>
      </c>
      <c r="P168" s="30">
        <f t="shared" si="19"/>
        <v>59000</v>
      </c>
      <c r="R168" s="46">
        <v>43952</v>
      </c>
      <c r="S168" s="30">
        <f>IF(DASHBOARD!$E$21=Data!$R$3,Data!S9,IF(DASHBOARD!$E$21=Data!$R$43,Data!S49,""))</f>
        <v>2</v>
      </c>
      <c r="T168" s="30">
        <f>IF(DASHBOARD!$E$21=Data!$R$3,Data!T9,IF(DASHBOARD!$E$21=Data!$R$43,Data!T49,""))</f>
        <v>4</v>
      </c>
      <c r="V168" s="46">
        <v>43952</v>
      </c>
      <c r="W168" s="30">
        <f t="shared" si="15"/>
        <v>18</v>
      </c>
      <c r="X168" s="30">
        <f t="shared" si="16"/>
        <v>20</v>
      </c>
      <c r="Z168" s="46">
        <v>43952</v>
      </c>
      <c r="AA168" s="30">
        <f>IF(DASHBOARD!$J$21=Data!$Z$3,Data!AA9,IF(DASHBOARD!$J$21=Data!$Z$43,Data!AA49,""))</f>
        <v>10</v>
      </c>
      <c r="AB168" s="30">
        <f>IF(DASHBOARD!$J$21=Data!$Z$3,Data!AB9,IF(DASHBOARD!$J$21=Data!$Z$43,Data!AB49,""))</f>
        <v>20</v>
      </c>
      <c r="AD168" s="46">
        <v>43952</v>
      </c>
      <c r="AE168" s="30">
        <f t="shared" si="17"/>
        <v>120</v>
      </c>
      <c r="AF168" s="30">
        <f t="shared" si="18"/>
        <v>100</v>
      </c>
    </row>
    <row r="169" spans="2:32" x14ac:dyDescent="0.35">
      <c r="B169" s="46">
        <v>43983</v>
      </c>
      <c r="C169" s="30">
        <f>IF(DASHBOARD!$E$7=Data!$B$3,Data!C10,IF(DASHBOARD!$E$7=Data!$B$43,C50,IF(DASHBOARD!$E$7=Data!$B$83,Data!C90,IF(DASHBOARD!$E$7=Data!$B$123,Data!C130,""))))</f>
        <v>120</v>
      </c>
      <c r="D169" s="30">
        <f>IF(DASHBOARD!$E$7=Data!$B$3,Data!D10,IF(DASHBOARD!$E$7=Data!$B$43,D50,IF(DASHBOARD!$E$7=Data!$B$83,Data!D90,IF(DASHBOARD!$E$7=Data!$B$123,Data!D130,""))))</f>
        <v>260</v>
      </c>
      <c r="F169" s="46">
        <v>43983</v>
      </c>
      <c r="G169" s="30">
        <f t="shared" si="14"/>
        <v>1210</v>
      </c>
      <c r="H169" s="30">
        <f t="shared" si="14"/>
        <v>1280</v>
      </c>
      <c r="J169" s="46">
        <v>43983</v>
      </c>
      <c r="K169" s="30">
        <f>IF(DASHBOARD!$J$7=Data!$J$3,Data!K10,IF(DASHBOARD!$J$7=Data!$J$43,K50,IF(DASHBOARD!$J$7=Data!$J$83,Data!K90,IF(DASHBOARD!$J$7=Data!$J$123,Data!K130,""))))</f>
        <v>14000</v>
      </c>
      <c r="L169" s="30">
        <f>IF(DASHBOARD!$J$7=Data!$J$3,Data!L10,IF(DASHBOARD!$J$7=Data!$J$43,L50,IF(DASHBOARD!$J$7=Data!$J$83,Data!L90,IF(DASHBOARD!$J$7=Data!$J$123,Data!L130,""))))</f>
        <v>15000</v>
      </c>
      <c r="N169" s="46">
        <v>43983</v>
      </c>
      <c r="O169" s="30">
        <f t="shared" si="19"/>
        <v>60800</v>
      </c>
      <c r="P169" s="30">
        <f t="shared" si="19"/>
        <v>74000</v>
      </c>
      <c r="R169" s="46">
        <v>43983</v>
      </c>
      <c r="S169" s="30">
        <f>IF(DASHBOARD!$E$21=Data!$R$3,Data!S10,IF(DASHBOARD!$E$21=Data!$R$43,Data!S50,""))</f>
        <v>1</v>
      </c>
      <c r="T169" s="30">
        <f>IF(DASHBOARD!$E$21=Data!$R$3,Data!T10,IF(DASHBOARD!$E$21=Data!$R$43,Data!T50,""))</f>
        <v>4</v>
      </c>
      <c r="V169" s="46">
        <v>43983</v>
      </c>
      <c r="W169" s="30">
        <f t="shared" si="15"/>
        <v>19</v>
      </c>
      <c r="X169" s="30">
        <f t="shared" si="16"/>
        <v>24</v>
      </c>
      <c r="Z169" s="46">
        <v>43983</v>
      </c>
      <c r="AA169" s="30">
        <f>IF(DASHBOARD!$J$21=Data!$Z$3,Data!AA10,IF(DASHBOARD!$J$21=Data!$Z$43,Data!AA50,""))</f>
        <v>5</v>
      </c>
      <c r="AB169" s="30">
        <f>IF(DASHBOARD!$J$21=Data!$Z$3,Data!AB10,IF(DASHBOARD!$J$21=Data!$Z$43,Data!AB50,""))</f>
        <v>20</v>
      </c>
      <c r="AD169" s="46">
        <v>43983</v>
      </c>
      <c r="AE169" s="30">
        <f t="shared" si="17"/>
        <v>125</v>
      </c>
      <c r="AF169" s="30">
        <f t="shared" si="18"/>
        <v>120</v>
      </c>
    </row>
    <row r="170" spans="2:32" x14ac:dyDescent="0.35">
      <c r="B170" s="46">
        <v>44013</v>
      </c>
      <c r="C170" s="30">
        <f>IF(DASHBOARD!$E$7=Data!$B$3,Data!C11,IF(DASHBOARD!$E$7=Data!$B$43,C51,IF(DASHBOARD!$E$7=Data!$B$83,Data!C91,IF(DASHBOARD!$E$7=Data!$B$123,Data!C131,""))))</f>
        <v>90</v>
      </c>
      <c r="D170" s="30">
        <f>IF(DASHBOARD!$E$7=Data!$B$3,Data!D11,IF(DASHBOARD!$E$7=Data!$B$43,D51,IF(DASHBOARD!$E$7=Data!$B$83,Data!D91,IF(DASHBOARD!$E$7=Data!$B$123,Data!D131,""))))</f>
        <v>280</v>
      </c>
      <c r="F170" s="46">
        <v>44013</v>
      </c>
      <c r="G170" s="30">
        <f t="shared" si="14"/>
        <v>1300</v>
      </c>
      <c r="H170" s="30">
        <f>H169+D170</f>
        <v>1560</v>
      </c>
      <c r="J170" s="46">
        <v>44013</v>
      </c>
      <c r="K170" s="30">
        <f>IF(DASHBOARD!$J$7=Data!$J$3,Data!K11,IF(DASHBOARD!$J$7=Data!$J$43,K51,IF(DASHBOARD!$J$7=Data!$J$83,Data!K91,IF(DASHBOARD!$J$7=Data!$J$123,Data!K131,""))))</f>
        <v>19000</v>
      </c>
      <c r="L170" s="30">
        <f>IF(DASHBOARD!$J$7=Data!$J$3,Data!L11,IF(DASHBOARD!$J$7=Data!$J$43,L51,IF(DASHBOARD!$J$7=Data!$J$83,Data!L91,IF(DASHBOARD!$J$7=Data!$J$123,Data!L131,""))))</f>
        <v>16000</v>
      </c>
      <c r="N170" s="46">
        <v>44013</v>
      </c>
      <c r="O170" s="30">
        <f t="shared" si="19"/>
        <v>79800</v>
      </c>
      <c r="P170" s="30">
        <f t="shared" si="19"/>
        <v>90000</v>
      </c>
      <c r="R170" s="46">
        <v>44013</v>
      </c>
      <c r="S170" s="30">
        <f>IF(DASHBOARD!$E$21=Data!$R$3,Data!S11,IF(DASHBOARD!$E$21=Data!$R$43,Data!S51,""))</f>
        <v>1</v>
      </c>
      <c r="T170" s="30">
        <f>IF(DASHBOARD!$E$21=Data!$R$3,Data!T11,IF(DASHBOARD!$E$21=Data!$R$43,Data!T51,""))</f>
        <v>4</v>
      </c>
      <c r="V170" s="46">
        <v>44013</v>
      </c>
      <c r="W170" s="30">
        <f t="shared" si="15"/>
        <v>20</v>
      </c>
      <c r="X170" s="30">
        <f>X169+T170</f>
        <v>28</v>
      </c>
      <c r="Z170" s="46">
        <v>44013</v>
      </c>
      <c r="AA170" s="30">
        <f>IF(DASHBOARD!$J$21=Data!$Z$3,Data!AA11,IF(DASHBOARD!$J$21=Data!$Z$43,Data!AA51,""))</f>
        <v>10</v>
      </c>
      <c r="AB170" s="30">
        <f>IF(DASHBOARD!$J$21=Data!$Z$3,Data!AB11,IF(DASHBOARD!$J$21=Data!$Z$43,Data!AB51,""))</f>
        <v>20</v>
      </c>
      <c r="AD170" s="46">
        <v>44013</v>
      </c>
      <c r="AE170" s="30">
        <f t="shared" si="17"/>
        <v>135</v>
      </c>
      <c r="AF170" s="30">
        <f>AF169+AB170</f>
        <v>140</v>
      </c>
    </row>
    <row r="171" spans="2:32" x14ac:dyDescent="0.35">
      <c r="B171" s="46">
        <v>44044</v>
      </c>
      <c r="C171" s="30">
        <f>IF(DASHBOARD!$E$7=Data!$B$3,Data!C12,IF(DASHBOARD!$E$7=Data!$B$43,C52,IF(DASHBOARD!$E$7=Data!$B$83,Data!C92,IF(DASHBOARD!$E$7=Data!$B$123,Data!C132,""))))</f>
        <v>80</v>
      </c>
      <c r="D171" s="30">
        <f>IF(DASHBOARD!$E$7=Data!$B$3,Data!D12,IF(DASHBOARD!$E$7=Data!$B$43,D52,IF(DASHBOARD!$E$7=Data!$B$83,Data!D92,IF(DASHBOARD!$E$7=Data!$B$123,Data!D132,""))))</f>
        <v>280</v>
      </c>
      <c r="F171" s="46">
        <v>44044</v>
      </c>
      <c r="G171" s="30">
        <f t="shared" si="14"/>
        <v>1380</v>
      </c>
      <c r="H171" s="30">
        <f t="shared" si="14"/>
        <v>1840</v>
      </c>
      <c r="J171" s="46">
        <v>44044</v>
      </c>
      <c r="K171" s="30">
        <f>IF(DASHBOARD!$J$7=Data!$J$3,Data!K12,IF(DASHBOARD!$J$7=Data!$J$43,K52,IF(DASHBOARD!$J$7=Data!$J$83,Data!K92,IF(DASHBOARD!$J$7=Data!$J$123,Data!K132,""))))</f>
        <v>22000</v>
      </c>
      <c r="L171" s="30">
        <f>IF(DASHBOARD!$J$7=Data!$J$3,Data!L12,IF(DASHBOARD!$J$7=Data!$J$43,L52,IF(DASHBOARD!$J$7=Data!$J$83,Data!L92,IF(DASHBOARD!$J$7=Data!$J$123,Data!L132,""))))</f>
        <v>17000</v>
      </c>
      <c r="N171" s="46">
        <v>44044</v>
      </c>
      <c r="O171" s="30">
        <f t="shared" si="19"/>
        <v>101800</v>
      </c>
      <c r="P171" s="30">
        <f t="shared" si="19"/>
        <v>107000</v>
      </c>
      <c r="R171" s="46">
        <v>44044</v>
      </c>
      <c r="S171" s="30">
        <f>IF(DASHBOARD!$E$21=Data!$R$3,Data!S12,IF(DASHBOARD!$E$21=Data!$R$43,Data!S52,""))</f>
        <v>1</v>
      </c>
      <c r="T171" s="30">
        <f>IF(DASHBOARD!$E$21=Data!$R$3,Data!T12,IF(DASHBOARD!$E$21=Data!$R$43,Data!T52,""))</f>
        <v>4</v>
      </c>
      <c r="V171" s="46">
        <v>44044</v>
      </c>
      <c r="W171" s="30">
        <f t="shared" si="15"/>
        <v>21</v>
      </c>
      <c r="X171" s="30">
        <f t="shared" ref="X171:X175" si="20">X170+T171</f>
        <v>32</v>
      </c>
      <c r="Z171" s="46">
        <v>44044</v>
      </c>
      <c r="AA171" s="30">
        <f>IF(DASHBOARD!$J$21=Data!$Z$3,Data!AA12,IF(DASHBOARD!$J$21=Data!$Z$43,Data!AA52,""))</f>
        <v>10</v>
      </c>
      <c r="AB171" s="30">
        <f>IF(DASHBOARD!$J$21=Data!$Z$3,Data!AB12,IF(DASHBOARD!$J$21=Data!$Z$43,Data!AB52,""))</f>
        <v>20</v>
      </c>
      <c r="AD171" s="46">
        <v>44044</v>
      </c>
      <c r="AE171" s="30">
        <f t="shared" si="17"/>
        <v>145</v>
      </c>
      <c r="AF171" s="30">
        <f t="shared" ref="AF171:AF175" si="21">AF170+AB171</f>
        <v>160</v>
      </c>
    </row>
    <row r="172" spans="2:32" x14ac:dyDescent="0.35">
      <c r="B172" s="46">
        <v>44075</v>
      </c>
      <c r="C172" s="30">
        <f>IF(DASHBOARD!$E$7=Data!$B$3,Data!C13,IF(DASHBOARD!$E$7=Data!$B$43,C53,IF(DASHBOARD!$E$7=Data!$B$83,Data!C93,IF(DASHBOARD!$E$7=Data!$B$123,Data!C133,""))))</f>
        <v>430</v>
      </c>
      <c r="D172" s="30">
        <f>IF(DASHBOARD!$E$7=Data!$B$3,Data!D13,IF(DASHBOARD!$E$7=Data!$B$43,D53,IF(DASHBOARD!$E$7=Data!$B$83,Data!D93,IF(DASHBOARD!$E$7=Data!$B$123,Data!D133,""))))</f>
        <v>280</v>
      </c>
      <c r="F172" s="46">
        <v>44075</v>
      </c>
      <c r="G172" s="30">
        <f t="shared" si="14"/>
        <v>1810</v>
      </c>
      <c r="H172" s="30">
        <f t="shared" si="14"/>
        <v>2120</v>
      </c>
      <c r="J172" s="46">
        <v>44075</v>
      </c>
      <c r="K172" s="30">
        <f>IF(DASHBOARD!$J$7=Data!$J$3,Data!K13,IF(DASHBOARD!$J$7=Data!$J$43,K53,IF(DASHBOARD!$J$7=Data!$J$83,Data!K93,IF(DASHBOARD!$J$7=Data!$J$123,Data!K133,""))))</f>
        <v>23000</v>
      </c>
      <c r="L172" s="30">
        <f>IF(DASHBOARD!$J$7=Data!$J$3,Data!L13,IF(DASHBOARD!$J$7=Data!$J$43,L53,IF(DASHBOARD!$J$7=Data!$J$83,Data!L93,IF(DASHBOARD!$J$7=Data!$J$123,Data!L133,""))))</f>
        <v>18000</v>
      </c>
      <c r="N172" s="46">
        <v>44075</v>
      </c>
      <c r="O172" s="30">
        <f t="shared" si="19"/>
        <v>124800</v>
      </c>
      <c r="P172" s="30">
        <f t="shared" si="19"/>
        <v>125000</v>
      </c>
      <c r="R172" s="46">
        <v>44075</v>
      </c>
      <c r="S172" s="30">
        <f>IF(DASHBOARD!$E$21=Data!$R$3,Data!S13,IF(DASHBOARD!$E$21=Data!$R$43,Data!S53,""))</f>
        <v>5</v>
      </c>
      <c r="T172" s="30">
        <f>IF(DASHBOARD!$E$21=Data!$R$3,Data!T13,IF(DASHBOARD!$E$21=Data!$R$43,Data!T53,""))</f>
        <v>4</v>
      </c>
      <c r="V172" s="46">
        <v>44075</v>
      </c>
      <c r="W172" s="30">
        <f t="shared" si="15"/>
        <v>26</v>
      </c>
      <c r="X172" s="30">
        <f t="shared" si="20"/>
        <v>36</v>
      </c>
      <c r="Z172" s="46">
        <v>44075</v>
      </c>
      <c r="AA172" s="30">
        <f>IF(DASHBOARD!$J$21=Data!$Z$3,Data!AA13,IF(DASHBOARD!$J$21=Data!$Z$43,Data!AA53,""))</f>
        <v>40</v>
      </c>
      <c r="AB172" s="30">
        <f>IF(DASHBOARD!$J$21=Data!$Z$3,Data!AB13,IF(DASHBOARD!$J$21=Data!$Z$43,Data!AB53,""))</f>
        <v>20</v>
      </c>
      <c r="AD172" s="46">
        <v>44075</v>
      </c>
      <c r="AE172" s="30">
        <f t="shared" si="17"/>
        <v>185</v>
      </c>
      <c r="AF172" s="30">
        <f t="shared" si="21"/>
        <v>180</v>
      </c>
    </row>
    <row r="173" spans="2:32" x14ac:dyDescent="0.35">
      <c r="B173" s="46">
        <v>44105</v>
      </c>
      <c r="C173" s="30">
        <f>IF(DASHBOARD!$E$7=Data!$B$3,Data!C14,IF(DASHBOARD!$E$7=Data!$B$43,C54,IF(DASHBOARD!$E$7=Data!$B$83,Data!C94,IF(DASHBOARD!$E$7=Data!$B$123,Data!C134,""))))</f>
        <v>210</v>
      </c>
      <c r="D173" s="30">
        <f>IF(DASHBOARD!$E$7=Data!$B$3,Data!D14,IF(DASHBOARD!$E$7=Data!$B$43,D54,IF(DASHBOARD!$E$7=Data!$B$83,Data!D94,IF(DASHBOARD!$E$7=Data!$B$123,Data!D134,""))))</f>
        <v>300</v>
      </c>
      <c r="F173" s="46">
        <v>44105</v>
      </c>
      <c r="G173" s="30">
        <f t="shared" si="14"/>
        <v>2020</v>
      </c>
      <c r="H173" s="30">
        <f t="shared" si="14"/>
        <v>2420</v>
      </c>
      <c r="J173" s="46">
        <v>44105</v>
      </c>
      <c r="K173" s="30">
        <f>IF(DASHBOARD!$J$7=Data!$J$3,Data!K14,IF(DASHBOARD!$J$7=Data!$J$43,K54,IF(DASHBOARD!$J$7=Data!$J$83,Data!K94,IF(DASHBOARD!$J$7=Data!$J$123,Data!K134,""))))</f>
        <v>24000</v>
      </c>
      <c r="L173" s="30">
        <f>IF(DASHBOARD!$J$7=Data!$J$3,Data!L14,IF(DASHBOARD!$J$7=Data!$J$43,L54,IF(DASHBOARD!$J$7=Data!$J$83,Data!L94,IF(DASHBOARD!$J$7=Data!$J$123,Data!L134,""))))</f>
        <v>19000</v>
      </c>
      <c r="N173" s="46">
        <v>44105</v>
      </c>
      <c r="O173" s="30">
        <f t="shared" si="19"/>
        <v>148800</v>
      </c>
      <c r="P173" s="30">
        <f t="shared" si="19"/>
        <v>144000</v>
      </c>
      <c r="R173" s="46">
        <v>44105</v>
      </c>
      <c r="S173" s="30">
        <f>IF(DASHBOARD!$E$21=Data!$R$3,Data!S14,IF(DASHBOARD!$E$21=Data!$R$43,Data!S54,""))</f>
        <v>6</v>
      </c>
      <c r="T173" s="30">
        <f>IF(DASHBOARD!$E$21=Data!$R$3,Data!T14,IF(DASHBOARD!$E$21=Data!$R$43,Data!T54,""))</f>
        <v>4</v>
      </c>
      <c r="V173" s="46">
        <v>44105</v>
      </c>
      <c r="W173" s="30">
        <f t="shared" si="15"/>
        <v>32</v>
      </c>
      <c r="X173" s="30">
        <f t="shared" si="20"/>
        <v>40</v>
      </c>
      <c r="Z173" s="46">
        <v>44105</v>
      </c>
      <c r="AA173" s="30">
        <f>IF(DASHBOARD!$J$21=Data!$Z$3,Data!AA14,IF(DASHBOARD!$J$21=Data!$Z$43,Data!AA54,""))</f>
        <v>50</v>
      </c>
      <c r="AB173" s="30">
        <f>IF(DASHBOARD!$J$21=Data!$Z$3,Data!AB14,IF(DASHBOARD!$J$21=Data!$Z$43,Data!AB54,""))</f>
        <v>20</v>
      </c>
      <c r="AD173" s="46">
        <v>44105</v>
      </c>
      <c r="AE173" s="30">
        <f t="shared" si="17"/>
        <v>235</v>
      </c>
      <c r="AF173" s="30">
        <f t="shared" si="21"/>
        <v>200</v>
      </c>
    </row>
    <row r="174" spans="2:32" x14ac:dyDescent="0.35">
      <c r="B174" s="46">
        <v>44136</v>
      </c>
      <c r="C174" s="30">
        <f>IF(DASHBOARD!$E$7=Data!$B$3,Data!C15,IF(DASHBOARD!$E$7=Data!$B$43,C55,IF(DASHBOARD!$E$7=Data!$B$83,Data!C95,IF(DASHBOARD!$E$7=Data!$B$123,Data!C135,""))))</f>
        <v>450</v>
      </c>
      <c r="D174" s="30">
        <f>IF(DASHBOARD!$E$7=Data!$B$3,Data!D15,IF(DASHBOARD!$E$7=Data!$B$43,D55,IF(DASHBOARD!$E$7=Data!$B$83,Data!D95,IF(DASHBOARD!$E$7=Data!$B$123,Data!D135,""))))</f>
        <v>380</v>
      </c>
      <c r="F174" s="46">
        <v>44136</v>
      </c>
      <c r="G174" s="30">
        <f t="shared" si="14"/>
        <v>2470</v>
      </c>
      <c r="H174" s="30">
        <f t="shared" si="14"/>
        <v>2800</v>
      </c>
      <c r="J174" s="46">
        <v>44136</v>
      </c>
      <c r="K174" s="30">
        <f>IF(DASHBOARD!$J$7=Data!$J$3,Data!K15,IF(DASHBOARD!$J$7=Data!$J$43,K55,IF(DASHBOARD!$J$7=Data!$J$83,Data!K95,IF(DASHBOARD!$J$7=Data!$J$123,Data!K135,""))))</f>
        <v>20000</v>
      </c>
      <c r="L174" s="30">
        <f>IF(DASHBOARD!$J$7=Data!$J$3,Data!L15,IF(DASHBOARD!$J$7=Data!$J$43,L55,IF(DASHBOARD!$J$7=Data!$J$83,Data!L95,IF(DASHBOARD!$J$7=Data!$J$123,Data!L135,""))))</f>
        <v>20000</v>
      </c>
      <c r="N174" s="46">
        <v>44136</v>
      </c>
      <c r="O174" s="30">
        <f t="shared" si="19"/>
        <v>168800</v>
      </c>
      <c r="P174" s="30">
        <f t="shared" si="19"/>
        <v>164000</v>
      </c>
      <c r="R174" s="46">
        <v>44136</v>
      </c>
      <c r="S174" s="30">
        <f>IF(DASHBOARD!$E$21=Data!$R$3,Data!S15,IF(DASHBOARD!$E$21=Data!$R$43,Data!S55,""))</f>
        <v>7</v>
      </c>
      <c r="T174" s="30">
        <f>IF(DASHBOARD!$E$21=Data!$R$3,Data!T15,IF(DASHBOARD!$E$21=Data!$R$43,Data!T55,""))</f>
        <v>4</v>
      </c>
      <c r="V174" s="46">
        <v>44136</v>
      </c>
      <c r="W174" s="30">
        <f t="shared" si="15"/>
        <v>39</v>
      </c>
      <c r="X174" s="30">
        <f t="shared" si="20"/>
        <v>44</v>
      </c>
      <c r="Z174" s="46">
        <v>44136</v>
      </c>
      <c r="AA174" s="30">
        <f>IF(DASHBOARD!$J$21=Data!$Z$3,Data!AA15,IF(DASHBOARD!$J$21=Data!$Z$43,Data!AA55,""))</f>
        <v>35</v>
      </c>
      <c r="AB174" s="30">
        <f>IF(DASHBOARD!$J$21=Data!$Z$3,Data!AB15,IF(DASHBOARD!$J$21=Data!$Z$43,Data!AB55,""))</f>
        <v>20</v>
      </c>
      <c r="AD174" s="46">
        <v>44136</v>
      </c>
      <c r="AE174" s="30">
        <f t="shared" si="17"/>
        <v>270</v>
      </c>
      <c r="AF174" s="30">
        <f t="shared" si="21"/>
        <v>220</v>
      </c>
    </row>
    <row r="175" spans="2:32" x14ac:dyDescent="0.35">
      <c r="B175" s="46">
        <v>44166</v>
      </c>
      <c r="C175" s="30">
        <f>IF(DASHBOARD!$E$7=Data!$B$3,Data!C16,IF(DASHBOARD!$E$7=Data!$B$43,C56,IF(DASHBOARD!$E$7=Data!$B$83,Data!C96,IF(DASHBOARD!$E$7=Data!$B$123,Data!C136,""))))</f>
        <v>600</v>
      </c>
      <c r="D175" s="30">
        <f>IF(DASHBOARD!$E$7=Data!$B$3,Data!D16,IF(DASHBOARD!$E$7=Data!$B$43,D56,IF(DASHBOARD!$E$7=Data!$B$83,Data!D96,IF(DASHBOARD!$E$7=Data!$B$123,Data!D136,""))))</f>
        <v>500</v>
      </c>
      <c r="F175" s="46">
        <v>44166</v>
      </c>
      <c r="G175" s="30">
        <f t="shared" si="14"/>
        <v>3070</v>
      </c>
      <c r="H175" s="30">
        <f t="shared" si="14"/>
        <v>3300</v>
      </c>
      <c r="J175" s="46">
        <v>44166</v>
      </c>
      <c r="K175" s="30">
        <f>IF(DASHBOARD!$J$7=Data!$J$3,Data!K16,IF(DASHBOARD!$J$7=Data!$J$43,K56,IF(DASHBOARD!$J$7=Data!$J$83,Data!K96,IF(DASHBOARD!$J$7=Data!$J$123,Data!K136,""))))</f>
        <v>23000</v>
      </c>
      <c r="L175" s="30">
        <f>IF(DASHBOARD!$J$7=Data!$J$3,Data!L16,IF(DASHBOARD!$J$7=Data!$J$43,L56,IF(DASHBOARD!$J$7=Data!$J$83,Data!L96,IF(DASHBOARD!$J$7=Data!$J$123,Data!L136,""))))</f>
        <v>21000</v>
      </c>
      <c r="N175" s="46">
        <v>44166</v>
      </c>
      <c r="O175" s="30">
        <f t="shared" si="19"/>
        <v>191800</v>
      </c>
      <c r="P175" s="30">
        <f t="shared" si="19"/>
        <v>185000</v>
      </c>
      <c r="R175" s="46">
        <v>44166</v>
      </c>
      <c r="S175" s="30">
        <f>IF(DASHBOARD!$E$21=Data!$R$3,Data!S16,IF(DASHBOARD!$E$21=Data!$R$43,Data!S56,""))</f>
        <v>8</v>
      </c>
      <c r="T175" s="30">
        <f>IF(DASHBOARD!$E$21=Data!$R$3,Data!T16,IF(DASHBOARD!$E$21=Data!$R$43,Data!T56,""))</f>
        <v>4</v>
      </c>
      <c r="V175" s="46">
        <v>44166</v>
      </c>
      <c r="W175" s="30">
        <f t="shared" si="15"/>
        <v>47</v>
      </c>
      <c r="X175" s="30">
        <f t="shared" si="20"/>
        <v>48</v>
      </c>
      <c r="Z175" s="46">
        <v>44166</v>
      </c>
      <c r="AA175" s="30">
        <f>IF(DASHBOARD!$J$21=Data!$Z$3,Data!AA16,IF(DASHBOARD!$J$21=Data!$Z$43,Data!AA56,""))</f>
        <v>30</v>
      </c>
      <c r="AB175" s="30">
        <f>IF(DASHBOARD!$J$21=Data!$Z$3,Data!AB16,IF(DASHBOARD!$J$21=Data!$Z$43,Data!AB56,""))</f>
        <v>20</v>
      </c>
      <c r="AD175" s="46">
        <v>44166</v>
      </c>
      <c r="AE175" s="30">
        <f>AE174+AA175</f>
        <v>300</v>
      </c>
      <c r="AF175" s="30">
        <f t="shared" si="21"/>
        <v>240</v>
      </c>
    </row>
    <row r="176" spans="2:32" x14ac:dyDescent="0.35">
      <c r="B176" s="46">
        <v>44197</v>
      </c>
      <c r="C176" s="30">
        <f>IF(DASHBOARD!$E$7=Data!$B$3,Data!C17,IF(DASHBOARD!$E$7=Data!$B$43,C57,IF(DASHBOARD!$E$7=Data!$B$83,Data!C97,IF(DASHBOARD!$E$7=Data!$B$123,Data!C137,""))))</f>
        <v>660</v>
      </c>
      <c r="D176" s="30">
        <f>IF(DASHBOARD!$E$7=Data!$B$3,Data!D17,IF(DASHBOARD!$E$7=Data!$B$43,D57,IF(DASHBOARD!$E$7=Data!$B$83,Data!D97,IF(DASHBOARD!$E$7=Data!$B$123,Data!D137,""))))</f>
        <v>550</v>
      </c>
      <c r="F176" s="46">
        <v>44197</v>
      </c>
      <c r="G176" s="30">
        <f t="shared" ref="G176:G177" si="22">G175+C176</f>
        <v>3730</v>
      </c>
      <c r="H176" s="30">
        <f t="shared" ref="H176:H177" si="23">H175+D176</f>
        <v>3850</v>
      </c>
      <c r="J176" s="46">
        <v>44197</v>
      </c>
      <c r="K176" s="30">
        <f>IF(DASHBOARD!$E$7=Data!$B$3,Data!K17,IF(DASHBOARD!$E$7=Data!$B$43,K57,IF(DASHBOARD!$E$7=Data!$B$83,Data!K97,IF(DASHBOARD!$E$7=Data!$B$123,Data!K137,""))))</f>
        <v>8580</v>
      </c>
      <c r="L176" s="30">
        <f>IF(DASHBOARD!$J$7=Data!$J$3,Data!L17,IF(DASHBOARD!$J$7=Data!$J$43,L57,IF(DASHBOARD!$J$7=Data!$J$83,Data!L97,IF(DASHBOARD!$J$7=Data!$J$123,Data!L137,""))))</f>
        <v>22166.666666666701</v>
      </c>
      <c r="N176" s="46">
        <v>44197</v>
      </c>
      <c r="O176" s="30">
        <f t="shared" ref="O176:O199" si="24">O175+K176</f>
        <v>200380</v>
      </c>
      <c r="P176" s="30">
        <f t="shared" ref="P176:P199" si="25">P175+L176</f>
        <v>207166.66666666669</v>
      </c>
      <c r="R176" s="46">
        <v>44197</v>
      </c>
      <c r="S176" s="30">
        <f>IF(DASHBOARD!$E$21=Data!$R$3,Data!S17,IF(DASHBOARD!$E$21=Data!$R$43,Data!S57,""))</f>
        <v>3</v>
      </c>
      <c r="T176" s="30">
        <f>IF(DASHBOARD!$E$21=Data!$R$3,Data!T17,IF(DASHBOARD!$E$21=Data!$R$43,Data!T57,""))</f>
        <v>5</v>
      </c>
      <c r="V176" s="46">
        <v>44197</v>
      </c>
      <c r="W176" s="30">
        <f t="shared" ref="W176:W199" si="26">W175+S176</f>
        <v>50</v>
      </c>
      <c r="X176" s="30">
        <f t="shared" ref="X176:X199" si="27">X175+T176</f>
        <v>53</v>
      </c>
      <c r="Z176" s="46">
        <v>44197</v>
      </c>
      <c r="AA176" s="30">
        <f>IF(DASHBOARD!$J$21=Data!$Z$3,Data!AA17,IF(DASHBOARD!$J$21=Data!$Z$43,Data!AA57,""))</f>
        <v>25</v>
      </c>
      <c r="AB176" s="30">
        <f>IF(DASHBOARD!$J$21=Data!$Z$3,Data!AB17,IF(DASHBOARD!$J$21=Data!$Z$43,Data!AB57,""))</f>
        <v>20</v>
      </c>
      <c r="AD176" s="46">
        <v>44197</v>
      </c>
      <c r="AE176" s="30">
        <f t="shared" ref="AE176:AE199" si="28">AE175+AA176</f>
        <v>325</v>
      </c>
      <c r="AF176" s="30">
        <f t="shared" ref="AF176:AF199" si="29">AF175+AB176</f>
        <v>260</v>
      </c>
    </row>
    <row r="177" spans="2:32" x14ac:dyDescent="0.35">
      <c r="B177" s="46">
        <v>44228</v>
      </c>
      <c r="C177" s="30">
        <f>IF(DASHBOARD!$E$7=Data!$B$3,Data!C18,IF(DASHBOARD!$E$7=Data!$B$43,C58,IF(DASHBOARD!$E$7=Data!$B$83,Data!C98,IF(DASHBOARD!$E$7=Data!$B$123,Data!C138,""))))</f>
        <v>726.00000000000011</v>
      </c>
      <c r="D177" s="30">
        <f>IF(DASHBOARD!$E$7=Data!$B$3,Data!D18,IF(DASHBOARD!$E$7=Data!$B$43,D58,IF(DASHBOARD!$E$7=Data!$B$83,Data!D98,IF(DASHBOARD!$E$7=Data!$B$123,Data!D138,""))))</f>
        <v>605</v>
      </c>
      <c r="F177" s="46">
        <v>44228</v>
      </c>
      <c r="G177" s="30">
        <f t="shared" si="22"/>
        <v>4456</v>
      </c>
      <c r="H177" s="30">
        <f t="shared" si="23"/>
        <v>4455</v>
      </c>
      <c r="J177" s="46">
        <v>44228</v>
      </c>
      <c r="K177" s="30">
        <f>IF(DASHBOARD!$E$7=Data!$B$3,Data!K18,IF(DASHBOARD!$E$7=Data!$B$43,K58,IF(DASHBOARD!$E$7=Data!$B$83,Data!K98,IF(DASHBOARD!$E$7=Data!$B$123,Data!K138,""))))</f>
        <v>9438</v>
      </c>
      <c r="L177" s="30">
        <f>IF(DASHBOARD!$J$7=Data!$J$3,Data!L18,IF(DASHBOARD!$J$7=Data!$J$43,L58,IF(DASHBOARD!$J$7=Data!$J$83,Data!L98,IF(DASHBOARD!$J$7=Data!$J$123,Data!L138,""))))</f>
        <v>23205.1282051282</v>
      </c>
      <c r="N177" s="46">
        <v>44228</v>
      </c>
      <c r="O177" s="30">
        <f t="shared" si="24"/>
        <v>209818</v>
      </c>
      <c r="P177" s="30">
        <f t="shared" si="25"/>
        <v>230371.79487179487</v>
      </c>
      <c r="R177" s="46">
        <v>44228</v>
      </c>
      <c r="S177" s="30">
        <f>IF(DASHBOARD!$E$21=Data!$R$3,Data!S18,IF(DASHBOARD!$E$21=Data!$R$43,Data!S58,""))</f>
        <v>2</v>
      </c>
      <c r="T177" s="30">
        <f>IF(DASHBOARD!$E$21=Data!$R$3,Data!T18,IF(DASHBOARD!$E$21=Data!$R$43,Data!T58,""))</f>
        <v>5</v>
      </c>
      <c r="V177" s="46">
        <v>44228</v>
      </c>
      <c r="W177" s="30">
        <f t="shared" si="26"/>
        <v>52</v>
      </c>
      <c r="X177" s="30">
        <f t="shared" si="27"/>
        <v>58</v>
      </c>
      <c r="Z177" s="46">
        <v>44228</v>
      </c>
      <c r="AA177" s="30">
        <f>IF(DASHBOARD!$J$21=Data!$Z$3,Data!AA18,IF(DASHBOARD!$J$21=Data!$Z$43,Data!AA58,""))</f>
        <v>25</v>
      </c>
      <c r="AB177" s="30">
        <f>IF(DASHBOARD!$J$21=Data!$Z$3,Data!AB18,IF(DASHBOARD!$J$21=Data!$Z$43,Data!AB58,""))</f>
        <v>20</v>
      </c>
      <c r="AD177" s="46">
        <v>44228</v>
      </c>
      <c r="AE177" s="30">
        <f t="shared" si="28"/>
        <v>350</v>
      </c>
      <c r="AF177" s="30">
        <f t="shared" si="29"/>
        <v>280</v>
      </c>
    </row>
    <row r="178" spans="2:32" x14ac:dyDescent="0.35">
      <c r="B178" s="46">
        <v>44256</v>
      </c>
      <c r="C178" s="30">
        <f>IF(DASHBOARD!$E$7=Data!$B$3,Data!C19,IF(DASHBOARD!$E$7=Data!$B$43,C59,IF(DASHBOARD!$E$7=Data!$B$83,Data!C99,IF(DASHBOARD!$E$7=Data!$B$123,Data!C139,""))))</f>
        <v>798.60000000000014</v>
      </c>
      <c r="D178" s="30">
        <f>IF(DASHBOARD!$E$7=Data!$B$3,Data!D19,IF(DASHBOARD!$E$7=Data!$B$43,D59,IF(DASHBOARD!$E$7=Data!$B$83,Data!D99,IF(DASHBOARD!$E$7=Data!$B$123,Data!D139,""))))</f>
        <v>665.5</v>
      </c>
      <c r="F178" s="46">
        <v>44256</v>
      </c>
      <c r="G178" s="30">
        <f t="shared" ref="G178:G199" si="30">G177+C178</f>
        <v>5254.6</v>
      </c>
      <c r="H178" s="30">
        <f t="shared" ref="H178:H199" si="31">H177+D178</f>
        <v>5120.5</v>
      </c>
      <c r="J178" s="46">
        <v>44256</v>
      </c>
      <c r="K178" s="30">
        <f>IF(DASHBOARD!$E$7=Data!$B$3,Data!K19,IF(DASHBOARD!$E$7=Data!$B$43,K59,IF(DASHBOARD!$E$7=Data!$B$83,Data!K99,IF(DASHBOARD!$E$7=Data!$B$123,Data!K139,""))))</f>
        <v>10381.800000000001</v>
      </c>
      <c r="L178" s="30">
        <f>IF(DASHBOARD!$J$7=Data!$J$3,Data!L19,IF(DASHBOARD!$J$7=Data!$J$43,L59,IF(DASHBOARD!$J$7=Data!$J$83,Data!L99,IF(DASHBOARD!$J$7=Data!$J$123,Data!L139,""))))</f>
        <v>24243.589743589699</v>
      </c>
      <c r="N178" s="46">
        <v>44256</v>
      </c>
      <c r="O178" s="30">
        <f t="shared" si="24"/>
        <v>220199.8</v>
      </c>
      <c r="P178" s="30">
        <f t="shared" si="25"/>
        <v>254615.38461538457</v>
      </c>
      <c r="R178" s="46">
        <v>44256</v>
      </c>
      <c r="S178" s="30">
        <f>IF(DASHBOARD!$E$21=Data!$R$3,Data!S19,IF(DASHBOARD!$E$21=Data!$R$43,Data!S59,""))</f>
        <v>4</v>
      </c>
      <c r="T178" s="30">
        <f>IF(DASHBOARD!$E$21=Data!$R$3,Data!T19,IF(DASHBOARD!$E$21=Data!$R$43,Data!T59,""))</f>
        <v>5</v>
      </c>
      <c r="V178" s="46">
        <v>44256</v>
      </c>
      <c r="W178" s="30">
        <f t="shared" si="26"/>
        <v>56</v>
      </c>
      <c r="X178" s="30">
        <f t="shared" si="27"/>
        <v>63</v>
      </c>
      <c r="Z178" s="46">
        <v>44256</v>
      </c>
      <c r="AA178" s="30">
        <f>IF(DASHBOARD!$J$21=Data!$Z$3,Data!AA19,IF(DASHBOARD!$J$21=Data!$Z$43,Data!AA59,""))</f>
        <v>25</v>
      </c>
      <c r="AB178" s="30">
        <f>IF(DASHBOARD!$J$21=Data!$Z$3,Data!AB19,IF(DASHBOARD!$J$21=Data!$Z$43,Data!AB59,""))</f>
        <v>20</v>
      </c>
      <c r="AD178" s="46">
        <v>44256</v>
      </c>
      <c r="AE178" s="30">
        <f t="shared" si="28"/>
        <v>375</v>
      </c>
      <c r="AF178" s="30">
        <f t="shared" si="29"/>
        <v>300</v>
      </c>
    </row>
    <row r="179" spans="2:32" x14ac:dyDescent="0.35">
      <c r="B179" s="46">
        <v>44287</v>
      </c>
      <c r="C179" s="30">
        <f>IF(DASHBOARD!$E$7=Data!$B$3,Data!C20,IF(DASHBOARD!$E$7=Data!$B$43,C60,IF(DASHBOARD!$E$7=Data!$B$83,Data!C100,IF(DASHBOARD!$E$7=Data!$B$123,Data!C140,""))))</f>
        <v>878.46000000000026</v>
      </c>
      <c r="D179" s="30">
        <f>IF(DASHBOARD!$E$7=Data!$B$3,Data!D20,IF(DASHBOARD!$E$7=Data!$B$43,D60,IF(DASHBOARD!$E$7=Data!$B$83,Data!D100,IF(DASHBOARD!$E$7=Data!$B$123,Data!D140,""))))</f>
        <v>732.05000000000007</v>
      </c>
      <c r="F179" s="46">
        <v>44287</v>
      </c>
      <c r="G179" s="30">
        <f t="shared" si="30"/>
        <v>6133.06</v>
      </c>
      <c r="H179" s="30">
        <f t="shared" si="31"/>
        <v>5852.55</v>
      </c>
      <c r="J179" s="46">
        <v>44287</v>
      </c>
      <c r="K179" s="30">
        <f>IF(DASHBOARD!$E$7=Data!$B$3,Data!K20,IF(DASHBOARD!$E$7=Data!$B$43,K60,IF(DASHBOARD!$E$7=Data!$B$83,Data!K100,IF(DASHBOARD!$E$7=Data!$B$123,Data!K140,""))))</f>
        <v>11419.980000000001</v>
      </c>
      <c r="L179" s="30">
        <f>IF(DASHBOARD!$J$7=Data!$J$3,Data!L20,IF(DASHBOARD!$J$7=Data!$J$43,L60,IF(DASHBOARD!$J$7=Data!$J$83,Data!L100,IF(DASHBOARD!$J$7=Data!$J$123,Data!L140,""))))</f>
        <v>25282.051282051299</v>
      </c>
      <c r="N179" s="46">
        <v>44287</v>
      </c>
      <c r="O179" s="30">
        <f t="shared" si="24"/>
        <v>231619.78</v>
      </c>
      <c r="P179" s="30">
        <f t="shared" si="25"/>
        <v>279897.43589743588</v>
      </c>
      <c r="R179" s="46">
        <v>44287</v>
      </c>
      <c r="S179" s="30">
        <f>IF(DASHBOARD!$E$21=Data!$R$3,Data!S20,IF(DASHBOARD!$E$21=Data!$R$43,Data!S60,""))</f>
        <v>6</v>
      </c>
      <c r="T179" s="30">
        <f>IF(DASHBOARD!$E$21=Data!$R$3,Data!T20,IF(DASHBOARD!$E$21=Data!$R$43,Data!T60,""))</f>
        <v>5</v>
      </c>
      <c r="V179" s="46">
        <v>44287</v>
      </c>
      <c r="W179" s="30">
        <f t="shared" si="26"/>
        <v>62</v>
      </c>
      <c r="X179" s="30">
        <f t="shared" si="27"/>
        <v>68</v>
      </c>
      <c r="Z179" s="46">
        <v>44287</v>
      </c>
      <c r="AA179" s="30">
        <f>IF(DASHBOARD!$J$21=Data!$Z$3,Data!AA20,IF(DASHBOARD!$J$21=Data!$Z$43,Data!AA60,""))</f>
        <v>25</v>
      </c>
      <c r="AB179" s="30">
        <f>IF(DASHBOARD!$J$21=Data!$Z$3,Data!AB20,IF(DASHBOARD!$J$21=Data!$Z$43,Data!AB60,""))</f>
        <v>20</v>
      </c>
      <c r="AD179" s="46">
        <v>44287</v>
      </c>
      <c r="AE179" s="30">
        <f t="shared" si="28"/>
        <v>400</v>
      </c>
      <c r="AF179" s="30">
        <f t="shared" si="29"/>
        <v>320</v>
      </c>
    </row>
    <row r="180" spans="2:32" x14ac:dyDescent="0.35">
      <c r="B180" s="46">
        <v>44317</v>
      </c>
      <c r="C180" s="30">
        <f>IF(DASHBOARD!$E$7=Data!$B$3,Data!C21,IF(DASHBOARD!$E$7=Data!$B$43,C61,IF(DASHBOARD!$E$7=Data!$B$83,Data!C101,IF(DASHBOARD!$E$7=Data!$B$123,Data!C141,""))))</f>
        <v>966.30600000000038</v>
      </c>
      <c r="D180" s="30">
        <f>IF(DASHBOARD!$E$7=Data!$B$3,Data!D21,IF(DASHBOARD!$E$7=Data!$B$43,D61,IF(DASHBOARD!$E$7=Data!$B$83,Data!D101,IF(DASHBOARD!$E$7=Data!$B$123,Data!D141,""))))</f>
        <v>805.25500000000011</v>
      </c>
      <c r="F180" s="46">
        <v>44317</v>
      </c>
      <c r="G180" s="30">
        <f t="shared" si="30"/>
        <v>7099.3660000000009</v>
      </c>
      <c r="H180" s="30">
        <f t="shared" si="31"/>
        <v>6657.8050000000003</v>
      </c>
      <c r="J180" s="46">
        <v>44317</v>
      </c>
      <c r="K180" s="30">
        <f>IF(DASHBOARD!$E$7=Data!$B$3,Data!K21,IF(DASHBOARD!$E$7=Data!$B$43,K61,IF(DASHBOARD!$E$7=Data!$B$83,Data!K101,IF(DASHBOARD!$E$7=Data!$B$123,Data!K141,""))))</f>
        <v>12561.978000000003</v>
      </c>
      <c r="L180" s="30">
        <f>IF(DASHBOARD!$J$7=Data!$J$3,Data!L21,IF(DASHBOARD!$J$7=Data!$J$43,L61,IF(DASHBOARD!$J$7=Data!$J$83,Data!L101,IF(DASHBOARD!$J$7=Data!$J$123,Data!L141,""))))</f>
        <v>26320.512820512798</v>
      </c>
      <c r="N180" s="46">
        <v>44317</v>
      </c>
      <c r="O180" s="30">
        <f t="shared" si="24"/>
        <v>244181.758</v>
      </c>
      <c r="P180" s="30">
        <f t="shared" si="25"/>
        <v>306217.94871794869</v>
      </c>
      <c r="R180" s="46">
        <v>44317</v>
      </c>
      <c r="S180" s="30">
        <f>IF(DASHBOARD!$E$21=Data!$R$3,Data!S21,IF(DASHBOARD!$E$21=Data!$R$43,Data!S61,""))</f>
        <v>8</v>
      </c>
      <c r="T180" s="30">
        <f>IF(DASHBOARD!$E$21=Data!$R$3,Data!T21,IF(DASHBOARD!$E$21=Data!$R$43,Data!T61,""))</f>
        <v>5</v>
      </c>
      <c r="V180" s="46">
        <v>44317</v>
      </c>
      <c r="W180" s="30">
        <f t="shared" si="26"/>
        <v>70</v>
      </c>
      <c r="X180" s="30">
        <f t="shared" si="27"/>
        <v>73</v>
      </c>
      <c r="Z180" s="46">
        <v>44317</v>
      </c>
      <c r="AA180" s="30">
        <f>IF(DASHBOARD!$J$21=Data!$Z$3,Data!AA21,IF(DASHBOARD!$J$21=Data!$Z$43,Data!AA61,""))</f>
        <v>25</v>
      </c>
      <c r="AB180" s="30">
        <f>IF(DASHBOARD!$J$21=Data!$Z$3,Data!AB21,IF(DASHBOARD!$J$21=Data!$Z$43,Data!AB61,""))</f>
        <v>20</v>
      </c>
      <c r="AD180" s="46">
        <v>44317</v>
      </c>
      <c r="AE180" s="30">
        <f t="shared" si="28"/>
        <v>425</v>
      </c>
      <c r="AF180" s="30">
        <f t="shared" si="29"/>
        <v>340</v>
      </c>
    </row>
    <row r="181" spans="2:32" x14ac:dyDescent="0.35">
      <c r="B181" s="46">
        <v>44348</v>
      </c>
      <c r="C181" s="30">
        <f>IF(DASHBOARD!$E$7=Data!$B$3,Data!C22,IF(DASHBOARD!$E$7=Data!$B$43,C62,IF(DASHBOARD!$E$7=Data!$B$83,Data!C102,IF(DASHBOARD!$E$7=Data!$B$123,Data!C142,""))))</f>
        <v>1062.9366000000005</v>
      </c>
      <c r="D181" s="30">
        <f>IF(DASHBOARD!$E$7=Data!$B$3,Data!D22,IF(DASHBOARD!$E$7=Data!$B$43,D62,IF(DASHBOARD!$E$7=Data!$B$83,Data!D102,IF(DASHBOARD!$E$7=Data!$B$123,Data!D142,""))))</f>
        <v>885.78050000000019</v>
      </c>
      <c r="F181" s="46">
        <v>44348</v>
      </c>
      <c r="G181" s="30">
        <f t="shared" si="30"/>
        <v>8162.3026000000009</v>
      </c>
      <c r="H181" s="30">
        <f t="shared" si="31"/>
        <v>7543.5855000000001</v>
      </c>
      <c r="J181" s="46">
        <v>44348</v>
      </c>
      <c r="K181" s="30">
        <f>IF(DASHBOARD!$E$7=Data!$B$3,Data!K22,IF(DASHBOARD!$E$7=Data!$B$43,K62,IF(DASHBOARD!$E$7=Data!$B$83,Data!K102,IF(DASHBOARD!$E$7=Data!$B$123,Data!K142,""))))</f>
        <v>13818.175800000005</v>
      </c>
      <c r="L181" s="30">
        <f>IF(DASHBOARD!$J$7=Data!$J$3,Data!L22,IF(DASHBOARD!$J$7=Data!$J$43,L62,IF(DASHBOARD!$J$7=Data!$J$83,Data!L102,IF(DASHBOARD!$J$7=Data!$J$123,Data!L142,""))))</f>
        <v>27358.974358974399</v>
      </c>
      <c r="N181" s="46">
        <v>44348</v>
      </c>
      <c r="O181" s="30">
        <f t="shared" si="24"/>
        <v>257999.9338</v>
      </c>
      <c r="P181" s="30">
        <f t="shared" si="25"/>
        <v>333576.92307692306</v>
      </c>
      <c r="R181" s="46">
        <v>44348</v>
      </c>
      <c r="S181" s="30">
        <f>IF(DASHBOARD!$E$21=Data!$R$3,Data!S22,IF(DASHBOARD!$E$21=Data!$R$43,Data!S62,""))</f>
        <v>7</v>
      </c>
      <c r="T181" s="30">
        <f>IF(DASHBOARD!$E$21=Data!$R$3,Data!T22,IF(DASHBOARD!$E$21=Data!$R$43,Data!T62,""))</f>
        <v>5</v>
      </c>
      <c r="V181" s="46">
        <v>44348</v>
      </c>
      <c r="W181" s="30">
        <f t="shared" si="26"/>
        <v>77</v>
      </c>
      <c r="X181" s="30">
        <f t="shared" si="27"/>
        <v>78</v>
      </c>
      <c r="Z181" s="46">
        <v>44348</v>
      </c>
      <c r="AA181" s="30">
        <f>IF(DASHBOARD!$J$21=Data!$Z$3,Data!AA22,IF(DASHBOARD!$J$21=Data!$Z$43,Data!AA62,""))</f>
        <v>25</v>
      </c>
      <c r="AB181" s="30">
        <f>IF(DASHBOARD!$J$21=Data!$Z$3,Data!AB22,IF(DASHBOARD!$J$21=Data!$Z$43,Data!AB62,""))</f>
        <v>20</v>
      </c>
      <c r="AD181" s="46">
        <v>44348</v>
      </c>
      <c r="AE181" s="30">
        <f t="shared" si="28"/>
        <v>450</v>
      </c>
      <c r="AF181" s="30">
        <f t="shared" si="29"/>
        <v>360</v>
      </c>
    </row>
    <row r="182" spans="2:32" x14ac:dyDescent="0.35">
      <c r="B182" s="46">
        <v>44378</v>
      </c>
      <c r="C182" s="30">
        <f>IF(DASHBOARD!$E$7=Data!$B$3,Data!C23,IF(DASHBOARD!$E$7=Data!$B$43,C63,IF(DASHBOARD!$E$7=Data!$B$83,Data!C103,IF(DASHBOARD!$E$7=Data!$B$123,Data!C143,""))))</f>
        <v>1169.2302600000005</v>
      </c>
      <c r="D182" s="30">
        <f>IF(DASHBOARD!$E$7=Data!$B$3,Data!D23,IF(DASHBOARD!$E$7=Data!$B$43,D63,IF(DASHBOARD!$E$7=Data!$B$83,Data!D103,IF(DASHBOARD!$E$7=Data!$B$123,Data!D143,""))))</f>
        <v>974.35855000000026</v>
      </c>
      <c r="F182" s="46">
        <v>44378</v>
      </c>
      <c r="G182" s="30">
        <f t="shared" si="30"/>
        <v>9331.5328600000012</v>
      </c>
      <c r="H182" s="30">
        <f t="shared" si="31"/>
        <v>8517.9440500000001</v>
      </c>
      <c r="J182" s="46">
        <v>44378</v>
      </c>
      <c r="K182" s="30">
        <f>IF(DASHBOARD!$E$7=Data!$B$3,Data!K23,IF(DASHBOARD!$E$7=Data!$B$43,K63,IF(DASHBOARD!$E$7=Data!$B$83,Data!K103,IF(DASHBOARD!$E$7=Data!$B$123,Data!K143,""))))</f>
        <v>15199.993380000005</v>
      </c>
      <c r="L182" s="30">
        <f>IF(DASHBOARD!$J$7=Data!$J$3,Data!L23,IF(DASHBOARD!$J$7=Data!$J$43,L63,IF(DASHBOARD!$J$7=Data!$J$83,Data!L103,IF(DASHBOARD!$J$7=Data!$J$123,Data!L143,""))))</f>
        <v>28397.435897435898</v>
      </c>
      <c r="N182" s="46">
        <v>44378</v>
      </c>
      <c r="O182" s="30">
        <f t="shared" si="24"/>
        <v>273199.92718</v>
      </c>
      <c r="P182" s="30">
        <f t="shared" si="25"/>
        <v>361974.35897435894</v>
      </c>
      <c r="R182" s="46">
        <v>44378</v>
      </c>
      <c r="S182" s="30">
        <f>IF(DASHBOARD!$E$21=Data!$R$3,Data!S23,IF(DASHBOARD!$E$21=Data!$R$43,Data!S63,""))</f>
        <v>2</v>
      </c>
      <c r="T182" s="30">
        <f>IF(DASHBOARD!$E$21=Data!$R$3,Data!T23,IF(DASHBOARD!$E$21=Data!$R$43,Data!T63,""))</f>
        <v>5</v>
      </c>
      <c r="V182" s="46">
        <v>44378</v>
      </c>
      <c r="W182" s="30">
        <f t="shared" si="26"/>
        <v>79</v>
      </c>
      <c r="X182" s="30">
        <f t="shared" si="27"/>
        <v>83</v>
      </c>
      <c r="Z182" s="46">
        <v>44378</v>
      </c>
      <c r="AA182" s="30">
        <f>IF(DASHBOARD!$J$21=Data!$Z$3,Data!AA23,IF(DASHBOARD!$J$21=Data!$Z$43,Data!AA63,""))</f>
        <v>25</v>
      </c>
      <c r="AB182" s="30">
        <f>IF(DASHBOARD!$J$21=Data!$Z$3,Data!AB23,IF(DASHBOARD!$J$21=Data!$Z$43,Data!AB63,""))</f>
        <v>20</v>
      </c>
      <c r="AD182" s="46">
        <v>44378</v>
      </c>
      <c r="AE182" s="30">
        <f t="shared" si="28"/>
        <v>475</v>
      </c>
      <c r="AF182" s="30">
        <f t="shared" si="29"/>
        <v>380</v>
      </c>
    </row>
    <row r="183" spans="2:32" x14ac:dyDescent="0.35">
      <c r="B183" s="46">
        <v>44409</v>
      </c>
      <c r="C183" s="30">
        <f>IF(DASHBOARD!$E$7=Data!$B$3,Data!C24,IF(DASHBOARD!$E$7=Data!$B$43,C64,IF(DASHBOARD!$E$7=Data!$B$83,Data!C104,IF(DASHBOARD!$E$7=Data!$B$123,Data!C144,""))))</f>
        <v>0</v>
      </c>
      <c r="D183" s="30">
        <f>IF(DASHBOARD!$E$7=Data!$B$3,Data!D24,IF(DASHBOARD!$E$7=Data!$B$43,D64,IF(DASHBOARD!$E$7=Data!$B$83,Data!D104,IF(DASHBOARD!$E$7=Data!$B$123,Data!D144,""))))</f>
        <v>1071.7944050000003</v>
      </c>
      <c r="F183" s="46">
        <v>44409</v>
      </c>
      <c r="G183" s="30">
        <f t="shared" si="30"/>
        <v>9331.5328600000012</v>
      </c>
      <c r="H183" s="30">
        <f t="shared" si="31"/>
        <v>9589.7384550000006</v>
      </c>
      <c r="J183" s="46">
        <v>44409</v>
      </c>
      <c r="K183" s="30">
        <f>IF(DASHBOARD!$E$7=Data!$B$3,Data!K24,IF(DASHBOARD!$E$7=Data!$B$43,K64,IF(DASHBOARD!$E$7=Data!$B$83,Data!K104,IF(DASHBOARD!$E$7=Data!$B$123,Data!K144,""))))</f>
        <v>0</v>
      </c>
      <c r="L183" s="30">
        <f>IF(DASHBOARD!$J$7=Data!$J$3,Data!L24,IF(DASHBOARD!$J$7=Data!$J$43,L64,IF(DASHBOARD!$J$7=Data!$J$83,Data!L104,IF(DASHBOARD!$J$7=Data!$J$123,Data!L144,""))))</f>
        <v>29435.897435897401</v>
      </c>
      <c r="N183" s="46">
        <v>44409</v>
      </c>
      <c r="O183" s="30">
        <f t="shared" si="24"/>
        <v>273199.92718</v>
      </c>
      <c r="P183" s="30">
        <f t="shared" si="25"/>
        <v>391410.25641025632</v>
      </c>
      <c r="R183" s="46">
        <v>44409</v>
      </c>
      <c r="S183" s="30">
        <f>IF(DASHBOARD!$E$21=Data!$R$3,Data!S24,IF(DASHBOARD!$E$21=Data!$R$43,Data!S64,""))</f>
        <v>0</v>
      </c>
      <c r="T183" s="30">
        <f>IF(DASHBOARD!$E$21=Data!$R$3,Data!T24,IF(DASHBOARD!$E$21=Data!$R$43,Data!T64,""))</f>
        <v>5</v>
      </c>
      <c r="V183" s="46">
        <v>44409</v>
      </c>
      <c r="W183" s="30">
        <f t="shared" si="26"/>
        <v>79</v>
      </c>
      <c r="X183" s="30">
        <f t="shared" si="27"/>
        <v>88</v>
      </c>
      <c r="Z183" s="46">
        <v>44409</v>
      </c>
      <c r="AA183" s="30">
        <f>IF(DASHBOARD!$J$21=Data!$Z$3,Data!AA24,IF(DASHBOARD!$J$21=Data!$Z$43,Data!AA64,""))</f>
        <v>0</v>
      </c>
      <c r="AB183" s="30">
        <f>IF(DASHBOARD!$J$21=Data!$Z$3,Data!AB24,IF(DASHBOARD!$J$21=Data!$Z$43,Data!AB64,""))</f>
        <v>20</v>
      </c>
      <c r="AD183" s="46">
        <v>44409</v>
      </c>
      <c r="AE183" s="30">
        <f t="shared" si="28"/>
        <v>475</v>
      </c>
      <c r="AF183" s="30">
        <f t="shared" si="29"/>
        <v>400</v>
      </c>
    </row>
    <row r="184" spans="2:32" x14ac:dyDescent="0.35">
      <c r="B184" s="46">
        <v>44440</v>
      </c>
      <c r="C184" s="30">
        <f>IF(DASHBOARD!$E$7=Data!$B$3,Data!C25,IF(DASHBOARD!$E$7=Data!$B$43,C65,IF(DASHBOARD!$E$7=Data!$B$83,Data!C105,IF(DASHBOARD!$E$7=Data!$B$123,Data!C145,""))))</f>
        <v>0</v>
      </c>
      <c r="D184" s="30">
        <f>IF(DASHBOARD!$E$7=Data!$B$3,Data!D25,IF(DASHBOARD!$E$7=Data!$B$43,D65,IF(DASHBOARD!$E$7=Data!$B$83,Data!D105,IF(DASHBOARD!$E$7=Data!$B$123,Data!D145,""))))</f>
        <v>1178.9738455000004</v>
      </c>
      <c r="F184" s="46">
        <v>44440</v>
      </c>
      <c r="G184" s="30">
        <f t="shared" si="30"/>
        <v>9331.5328600000012</v>
      </c>
      <c r="H184" s="30">
        <f t="shared" si="31"/>
        <v>10768.712300500001</v>
      </c>
      <c r="J184" s="46">
        <v>44440</v>
      </c>
      <c r="K184" s="30">
        <f>IF(DASHBOARD!$E$7=Data!$B$3,Data!K25,IF(DASHBOARD!$E$7=Data!$B$43,K65,IF(DASHBOARD!$E$7=Data!$B$83,Data!K105,IF(DASHBOARD!$E$7=Data!$B$123,Data!K145,""))))</f>
        <v>0</v>
      </c>
      <c r="L184" s="30">
        <f>IF(DASHBOARD!$J$7=Data!$J$3,Data!L25,IF(DASHBOARD!$J$7=Data!$J$43,L65,IF(DASHBOARD!$J$7=Data!$J$83,Data!L105,IF(DASHBOARD!$J$7=Data!$J$123,Data!L145,""))))</f>
        <v>30474.358974358998</v>
      </c>
      <c r="N184" s="46">
        <v>44440</v>
      </c>
      <c r="O184" s="30">
        <f t="shared" si="24"/>
        <v>273199.92718</v>
      </c>
      <c r="P184" s="30">
        <f t="shared" si="25"/>
        <v>421884.61538461532</v>
      </c>
      <c r="R184" s="46">
        <v>44440</v>
      </c>
      <c r="S184" s="30">
        <f>IF(DASHBOARD!$E$21=Data!$R$3,Data!S25,IF(DASHBOARD!$E$21=Data!$R$43,Data!S65,""))</f>
        <v>0</v>
      </c>
      <c r="T184" s="30">
        <f>IF(DASHBOARD!$E$21=Data!$R$3,Data!T25,IF(DASHBOARD!$E$21=Data!$R$43,Data!T65,""))</f>
        <v>5</v>
      </c>
      <c r="V184" s="46">
        <v>44440</v>
      </c>
      <c r="W184" s="30">
        <f t="shared" si="26"/>
        <v>79</v>
      </c>
      <c r="X184" s="30">
        <f t="shared" si="27"/>
        <v>93</v>
      </c>
      <c r="Z184" s="46">
        <v>44440</v>
      </c>
      <c r="AA184" s="30">
        <f>IF(DASHBOARD!$J$21=Data!$Z$3,Data!AA25,IF(DASHBOARD!$J$21=Data!$Z$43,Data!AA65,""))</f>
        <v>0</v>
      </c>
      <c r="AB184" s="30">
        <f>IF(DASHBOARD!$J$21=Data!$Z$3,Data!AB25,IF(DASHBOARD!$J$21=Data!$Z$43,Data!AB65,""))</f>
        <v>20</v>
      </c>
      <c r="AD184" s="46">
        <v>44440</v>
      </c>
      <c r="AE184" s="30">
        <f t="shared" si="28"/>
        <v>475</v>
      </c>
      <c r="AF184" s="30">
        <f t="shared" si="29"/>
        <v>420</v>
      </c>
    </row>
    <row r="185" spans="2:32" x14ac:dyDescent="0.35">
      <c r="B185" s="46">
        <v>44470</v>
      </c>
      <c r="C185" s="30">
        <f>IF(DASHBOARD!$E$7=Data!$B$3,Data!C26,IF(DASHBOARD!$E$7=Data!$B$43,C66,IF(DASHBOARD!$E$7=Data!$B$83,Data!C106,IF(DASHBOARD!$E$7=Data!$B$123,Data!C146,""))))</f>
        <v>0</v>
      </c>
      <c r="D185" s="30">
        <f>IF(DASHBOARD!$E$7=Data!$B$3,Data!D26,IF(DASHBOARD!$E$7=Data!$B$43,D66,IF(DASHBOARD!$E$7=Data!$B$83,Data!D106,IF(DASHBOARD!$E$7=Data!$B$123,Data!D146,""))))</f>
        <v>1296.8712300500006</v>
      </c>
      <c r="F185" s="46">
        <v>44470</v>
      </c>
      <c r="G185" s="30">
        <f t="shared" si="30"/>
        <v>9331.5328600000012</v>
      </c>
      <c r="H185" s="30">
        <f t="shared" si="31"/>
        <v>12065.583530550002</v>
      </c>
      <c r="J185" s="46">
        <v>44470</v>
      </c>
      <c r="K185" s="30">
        <f>IF(DASHBOARD!$E$7=Data!$B$3,Data!K26,IF(DASHBOARD!$E$7=Data!$B$43,K66,IF(DASHBOARD!$E$7=Data!$B$83,Data!K106,IF(DASHBOARD!$E$7=Data!$B$123,Data!K146,""))))</f>
        <v>0</v>
      </c>
      <c r="L185" s="30">
        <f>IF(DASHBOARD!$J$7=Data!$J$3,Data!L26,IF(DASHBOARD!$J$7=Data!$J$43,L66,IF(DASHBOARD!$J$7=Data!$J$83,Data!L106,IF(DASHBOARD!$J$7=Data!$J$123,Data!L146,""))))</f>
        <v>31512.820512820501</v>
      </c>
      <c r="N185" s="46">
        <v>44470</v>
      </c>
      <c r="O185" s="30">
        <f t="shared" si="24"/>
        <v>273199.92718</v>
      </c>
      <c r="P185" s="30">
        <f t="shared" si="25"/>
        <v>453397.43589743582</v>
      </c>
      <c r="R185" s="46">
        <v>44470</v>
      </c>
      <c r="S185" s="30">
        <f>IF(DASHBOARD!$E$21=Data!$R$3,Data!S26,IF(DASHBOARD!$E$21=Data!$R$43,Data!S66,""))</f>
        <v>0</v>
      </c>
      <c r="T185" s="30">
        <f>IF(DASHBOARD!$E$21=Data!$R$3,Data!T26,IF(DASHBOARD!$E$21=Data!$R$43,Data!T66,""))</f>
        <v>5</v>
      </c>
      <c r="V185" s="46">
        <v>44470</v>
      </c>
      <c r="W185" s="30">
        <f t="shared" si="26"/>
        <v>79</v>
      </c>
      <c r="X185" s="30">
        <f t="shared" si="27"/>
        <v>98</v>
      </c>
      <c r="Z185" s="46">
        <v>44470</v>
      </c>
      <c r="AA185" s="30">
        <f>IF(DASHBOARD!$J$21=Data!$Z$3,Data!AA26,IF(DASHBOARD!$J$21=Data!$Z$43,Data!AA66,""))</f>
        <v>0</v>
      </c>
      <c r="AB185" s="30">
        <f>IF(DASHBOARD!$J$21=Data!$Z$3,Data!AB26,IF(DASHBOARD!$J$21=Data!$Z$43,Data!AB66,""))</f>
        <v>20</v>
      </c>
      <c r="AD185" s="46">
        <v>44470</v>
      </c>
      <c r="AE185" s="30">
        <f t="shared" si="28"/>
        <v>475</v>
      </c>
      <c r="AF185" s="30">
        <f t="shared" si="29"/>
        <v>440</v>
      </c>
    </row>
    <row r="186" spans="2:32" x14ac:dyDescent="0.35">
      <c r="B186" s="46">
        <v>44501</v>
      </c>
      <c r="C186" s="30">
        <f>IF(DASHBOARD!$E$7=Data!$B$3,Data!C27,IF(DASHBOARD!$E$7=Data!$B$43,C67,IF(DASHBOARD!$E$7=Data!$B$83,Data!C107,IF(DASHBOARD!$E$7=Data!$B$123,Data!C147,""))))</f>
        <v>0</v>
      </c>
      <c r="D186" s="30">
        <f>IF(DASHBOARD!$E$7=Data!$B$3,Data!D27,IF(DASHBOARD!$E$7=Data!$B$43,D67,IF(DASHBOARD!$E$7=Data!$B$83,Data!D107,IF(DASHBOARD!$E$7=Data!$B$123,Data!D147,""))))</f>
        <v>1426.5583530550007</v>
      </c>
      <c r="F186" s="46">
        <v>44501</v>
      </c>
      <c r="G186" s="30">
        <f t="shared" si="30"/>
        <v>9331.5328600000012</v>
      </c>
      <c r="H186" s="30">
        <f t="shared" si="31"/>
        <v>13492.141883605003</v>
      </c>
      <c r="J186" s="46">
        <v>44501</v>
      </c>
      <c r="K186" s="30">
        <f>IF(DASHBOARD!$E$7=Data!$B$3,Data!K27,IF(DASHBOARD!$E$7=Data!$B$43,K67,IF(DASHBOARD!$E$7=Data!$B$83,Data!K107,IF(DASHBOARD!$E$7=Data!$B$123,Data!K147,""))))</f>
        <v>0</v>
      </c>
      <c r="L186" s="30">
        <f>IF(DASHBOARD!$J$7=Data!$J$3,Data!L27,IF(DASHBOARD!$J$7=Data!$J$43,L67,IF(DASHBOARD!$J$7=Data!$J$83,Data!L107,IF(DASHBOARD!$J$7=Data!$J$123,Data!L147,""))))</f>
        <v>32551.282051282</v>
      </c>
      <c r="N186" s="46">
        <v>44501</v>
      </c>
      <c r="O186" s="30">
        <f t="shared" si="24"/>
        <v>273199.92718</v>
      </c>
      <c r="P186" s="30">
        <f t="shared" si="25"/>
        <v>485948.71794871782</v>
      </c>
      <c r="R186" s="46">
        <v>44501</v>
      </c>
      <c r="S186" s="30">
        <f>IF(DASHBOARD!$E$21=Data!$R$3,Data!S27,IF(DASHBOARD!$E$21=Data!$R$43,Data!S67,""))</f>
        <v>0</v>
      </c>
      <c r="T186" s="30">
        <f>IF(DASHBOARD!$E$21=Data!$R$3,Data!T27,IF(DASHBOARD!$E$21=Data!$R$43,Data!T67,""))</f>
        <v>5</v>
      </c>
      <c r="V186" s="46">
        <v>44501</v>
      </c>
      <c r="W186" s="30">
        <f t="shared" si="26"/>
        <v>79</v>
      </c>
      <c r="X186" s="30">
        <f t="shared" si="27"/>
        <v>103</v>
      </c>
      <c r="Z186" s="46">
        <v>44501</v>
      </c>
      <c r="AA186" s="30">
        <f>IF(DASHBOARD!$J$21=Data!$Z$3,Data!AA27,IF(DASHBOARD!$J$21=Data!$Z$43,Data!AA67,""))</f>
        <v>0</v>
      </c>
      <c r="AB186" s="30">
        <f>IF(DASHBOARD!$J$21=Data!$Z$3,Data!AB27,IF(DASHBOARD!$J$21=Data!$Z$43,Data!AB67,""))</f>
        <v>20</v>
      </c>
      <c r="AD186" s="46">
        <v>44501</v>
      </c>
      <c r="AE186" s="30">
        <f t="shared" si="28"/>
        <v>475</v>
      </c>
      <c r="AF186" s="30">
        <f t="shared" si="29"/>
        <v>460</v>
      </c>
    </row>
    <row r="187" spans="2:32" x14ac:dyDescent="0.35">
      <c r="B187" s="46">
        <v>44531</v>
      </c>
      <c r="C187" s="30">
        <f>IF(DASHBOARD!$E$7=Data!$B$3,Data!C28,IF(DASHBOARD!$E$7=Data!$B$43,C68,IF(DASHBOARD!$E$7=Data!$B$83,Data!C108,IF(DASHBOARD!$E$7=Data!$B$123,Data!C148,""))))</f>
        <v>0</v>
      </c>
      <c r="D187" s="30">
        <f>IF(DASHBOARD!$E$7=Data!$B$3,Data!D28,IF(DASHBOARD!$E$7=Data!$B$43,D68,IF(DASHBOARD!$E$7=Data!$B$83,Data!D108,IF(DASHBOARD!$E$7=Data!$B$123,Data!D148,""))))</f>
        <v>1569.2141883605009</v>
      </c>
      <c r="F187" s="46">
        <v>44531</v>
      </c>
      <c r="G187" s="30">
        <f t="shared" si="30"/>
        <v>9331.5328600000012</v>
      </c>
      <c r="H187" s="30">
        <f t="shared" si="31"/>
        <v>15061.356071965503</v>
      </c>
      <c r="J187" s="46">
        <v>44531</v>
      </c>
      <c r="K187" s="30">
        <f>IF(DASHBOARD!$E$7=Data!$B$3,Data!K28,IF(DASHBOARD!$E$7=Data!$B$43,K68,IF(DASHBOARD!$E$7=Data!$B$83,Data!K108,IF(DASHBOARD!$E$7=Data!$B$123,Data!K148,""))))</f>
        <v>0</v>
      </c>
      <c r="L187" s="30">
        <f>IF(DASHBOARD!$J$7=Data!$J$3,Data!L28,IF(DASHBOARD!$J$7=Data!$J$43,L68,IF(DASHBOARD!$J$7=Data!$J$83,Data!L108,IF(DASHBOARD!$J$7=Data!$J$123,Data!L148,""))))</f>
        <v>33589.743589743601</v>
      </c>
      <c r="N187" s="46">
        <v>44531</v>
      </c>
      <c r="O187" s="30">
        <f t="shared" si="24"/>
        <v>273199.92718</v>
      </c>
      <c r="P187" s="30">
        <f t="shared" si="25"/>
        <v>519538.46153846144</v>
      </c>
      <c r="R187" s="46">
        <v>44531</v>
      </c>
      <c r="S187" s="30">
        <f>IF(DASHBOARD!$E$21=Data!$R$3,Data!S28,IF(DASHBOARD!$E$21=Data!$R$43,Data!S68,""))</f>
        <v>0</v>
      </c>
      <c r="T187" s="30">
        <f>IF(DASHBOARD!$E$21=Data!$R$3,Data!T28,IF(DASHBOARD!$E$21=Data!$R$43,Data!T68,""))</f>
        <v>5</v>
      </c>
      <c r="V187" s="46">
        <v>44531</v>
      </c>
      <c r="W187" s="30">
        <f t="shared" si="26"/>
        <v>79</v>
      </c>
      <c r="X187" s="30">
        <f t="shared" si="27"/>
        <v>108</v>
      </c>
      <c r="Z187" s="46">
        <v>44531</v>
      </c>
      <c r="AA187" s="30">
        <f>IF(DASHBOARD!$J$21=Data!$Z$3,Data!AA28,IF(DASHBOARD!$J$21=Data!$Z$43,Data!AA68,""))</f>
        <v>0</v>
      </c>
      <c r="AB187" s="30">
        <f>IF(DASHBOARD!$J$21=Data!$Z$3,Data!AB28,IF(DASHBOARD!$J$21=Data!$Z$43,Data!AB68,""))</f>
        <v>20</v>
      </c>
      <c r="AD187" s="46">
        <v>44531</v>
      </c>
      <c r="AE187" s="30">
        <f t="shared" si="28"/>
        <v>475</v>
      </c>
      <c r="AF187" s="30">
        <f t="shared" si="29"/>
        <v>480</v>
      </c>
    </row>
    <row r="188" spans="2:32" x14ac:dyDescent="0.35">
      <c r="B188" s="46">
        <v>44562</v>
      </c>
      <c r="C188" s="30">
        <f>IF(DASHBOARD!$E$7=Data!$B$3,Data!C29,IF(DASHBOARD!$E$7=Data!$B$43,C69,IF(DASHBOARD!$E$7=Data!$B$83,Data!C109,IF(DASHBOARD!$E$7=Data!$B$123,Data!C149,""))))</f>
        <v>0</v>
      </c>
      <c r="D188" s="30">
        <f>IF(DASHBOARD!$E$7=Data!$B$3,Data!D29,IF(DASHBOARD!$E$7=Data!$B$43,D69,IF(DASHBOARD!$E$7=Data!$B$83,Data!D109,IF(DASHBOARD!$E$7=Data!$B$123,Data!D149,""))))</f>
        <v>1726.1356071965511</v>
      </c>
      <c r="F188" s="46">
        <v>44562</v>
      </c>
      <c r="G188" s="30">
        <f t="shared" si="30"/>
        <v>9331.5328600000012</v>
      </c>
      <c r="H188" s="30">
        <f t="shared" si="31"/>
        <v>16787.491679162056</v>
      </c>
      <c r="J188" s="46">
        <v>44562</v>
      </c>
      <c r="K188" s="30">
        <f>IF(DASHBOARD!$E$7=Data!$B$3,Data!K29,IF(DASHBOARD!$E$7=Data!$B$43,K69,IF(DASHBOARD!$E$7=Data!$B$83,Data!K109,IF(DASHBOARD!$E$7=Data!$B$123,Data!K149,""))))</f>
        <v>0</v>
      </c>
      <c r="L188" s="30">
        <f>IF(DASHBOARD!$J$7=Data!$J$3,Data!L29,IF(DASHBOARD!$J$7=Data!$J$43,L69,IF(DASHBOARD!$J$7=Data!$J$83,Data!L109,IF(DASHBOARD!$J$7=Data!$J$123,Data!L149,""))))</f>
        <v>34628.205128205103</v>
      </c>
      <c r="N188" s="46">
        <v>44562</v>
      </c>
      <c r="O188" s="30">
        <f t="shared" si="24"/>
        <v>273199.92718</v>
      </c>
      <c r="P188" s="30">
        <f t="shared" si="25"/>
        <v>554166.66666666651</v>
      </c>
      <c r="R188" s="46">
        <v>44562</v>
      </c>
      <c r="S188" s="30">
        <f>IF(DASHBOARD!$E$21=Data!$R$3,Data!S29,IF(DASHBOARD!$E$21=Data!$R$43,Data!S69,""))</f>
        <v>0</v>
      </c>
      <c r="T188" s="30">
        <f>IF(DASHBOARD!$E$21=Data!$R$3,Data!T29,IF(DASHBOARD!$E$21=Data!$R$43,Data!T69,""))</f>
        <v>5</v>
      </c>
      <c r="V188" s="46">
        <v>44562</v>
      </c>
      <c r="W188" s="30">
        <f t="shared" si="26"/>
        <v>79</v>
      </c>
      <c r="X188" s="30">
        <f t="shared" si="27"/>
        <v>113</v>
      </c>
      <c r="Z188" s="46">
        <v>44562</v>
      </c>
      <c r="AA188" s="30">
        <f>IF(DASHBOARD!$J$21=Data!$Z$3,Data!AA29,IF(DASHBOARD!$J$21=Data!$Z$43,Data!AA69,""))</f>
        <v>0</v>
      </c>
      <c r="AB188" s="30">
        <f>IF(DASHBOARD!$J$21=Data!$Z$3,Data!AB29,IF(DASHBOARD!$J$21=Data!$Z$43,Data!AB69,""))</f>
        <v>20</v>
      </c>
      <c r="AD188" s="46">
        <v>44562</v>
      </c>
      <c r="AE188" s="30">
        <f t="shared" si="28"/>
        <v>475</v>
      </c>
      <c r="AF188" s="30">
        <f t="shared" si="29"/>
        <v>500</v>
      </c>
    </row>
    <row r="189" spans="2:32" x14ac:dyDescent="0.35">
      <c r="B189" s="46">
        <v>44593</v>
      </c>
      <c r="C189" s="30">
        <f>IF(DASHBOARD!$E$7=Data!$B$3,Data!C30,IF(DASHBOARD!$E$7=Data!$B$43,C70,IF(DASHBOARD!$E$7=Data!$B$83,Data!C110,IF(DASHBOARD!$E$7=Data!$B$123,Data!C150,""))))</f>
        <v>0</v>
      </c>
      <c r="D189" s="30">
        <f>IF(DASHBOARD!$E$7=Data!$B$3,Data!D30,IF(DASHBOARD!$E$7=Data!$B$43,D70,IF(DASHBOARD!$E$7=Data!$B$83,Data!D110,IF(DASHBOARD!$E$7=Data!$B$123,Data!D150,""))))</f>
        <v>1898.7491679162063</v>
      </c>
      <c r="F189" s="46">
        <v>44593</v>
      </c>
      <c r="G189" s="30">
        <f t="shared" si="30"/>
        <v>9331.5328600000012</v>
      </c>
      <c r="H189" s="30">
        <f t="shared" si="31"/>
        <v>18686.240847078261</v>
      </c>
      <c r="J189" s="46">
        <v>44593</v>
      </c>
      <c r="K189" s="30">
        <f>IF(DASHBOARD!$E$7=Data!$B$3,Data!K30,IF(DASHBOARD!$E$7=Data!$B$43,K70,IF(DASHBOARD!$E$7=Data!$B$83,Data!K110,IF(DASHBOARD!$E$7=Data!$B$123,Data!K150,""))))</f>
        <v>0</v>
      </c>
      <c r="L189" s="30">
        <f>IF(DASHBOARD!$J$7=Data!$J$3,Data!L30,IF(DASHBOARD!$J$7=Data!$J$43,L70,IF(DASHBOARD!$J$7=Data!$J$83,Data!L110,IF(DASHBOARD!$J$7=Data!$J$123,Data!L150,""))))</f>
        <v>35666.666666666701</v>
      </c>
      <c r="N189" s="46">
        <v>44593</v>
      </c>
      <c r="O189" s="30">
        <f t="shared" si="24"/>
        <v>273199.92718</v>
      </c>
      <c r="P189" s="30">
        <f t="shared" si="25"/>
        <v>589833.33333333326</v>
      </c>
      <c r="R189" s="46">
        <v>44593</v>
      </c>
      <c r="S189" s="30">
        <f>IF(DASHBOARD!$E$21=Data!$R$3,Data!S30,IF(DASHBOARD!$E$21=Data!$R$43,Data!S70,""))</f>
        <v>0</v>
      </c>
      <c r="T189" s="30">
        <f>IF(DASHBOARD!$E$21=Data!$R$3,Data!T30,IF(DASHBOARD!$E$21=Data!$R$43,Data!T70,""))</f>
        <v>5</v>
      </c>
      <c r="V189" s="46">
        <v>44593</v>
      </c>
      <c r="W189" s="30">
        <f t="shared" si="26"/>
        <v>79</v>
      </c>
      <c r="X189" s="30">
        <f t="shared" si="27"/>
        <v>118</v>
      </c>
      <c r="Z189" s="46">
        <v>44593</v>
      </c>
      <c r="AA189" s="30">
        <f>IF(DASHBOARD!$J$21=Data!$Z$3,Data!AA30,IF(DASHBOARD!$J$21=Data!$Z$43,Data!AA70,""))</f>
        <v>0</v>
      </c>
      <c r="AB189" s="30">
        <f>IF(DASHBOARD!$J$21=Data!$Z$3,Data!AB30,IF(DASHBOARD!$J$21=Data!$Z$43,Data!AB70,""))</f>
        <v>20</v>
      </c>
      <c r="AD189" s="46">
        <v>44593</v>
      </c>
      <c r="AE189" s="30">
        <f t="shared" si="28"/>
        <v>475</v>
      </c>
      <c r="AF189" s="30">
        <f t="shared" si="29"/>
        <v>520</v>
      </c>
    </row>
    <row r="190" spans="2:32" x14ac:dyDescent="0.35">
      <c r="B190" s="46">
        <v>44621</v>
      </c>
      <c r="C190" s="30">
        <f>IF(DASHBOARD!$E$7=Data!$B$3,Data!C31,IF(DASHBOARD!$E$7=Data!$B$43,C71,IF(DASHBOARD!$E$7=Data!$B$83,Data!C111,IF(DASHBOARD!$E$7=Data!$B$123,Data!C151,""))))</f>
        <v>0</v>
      </c>
      <c r="D190" s="30">
        <f>IF(DASHBOARD!$E$7=Data!$B$3,Data!D31,IF(DASHBOARD!$E$7=Data!$B$43,D71,IF(DASHBOARD!$E$7=Data!$B$83,Data!D111,IF(DASHBOARD!$E$7=Data!$B$123,Data!D151,""))))</f>
        <v>2088.624084707827</v>
      </c>
      <c r="F190" s="46">
        <v>44621</v>
      </c>
      <c r="G190" s="30">
        <f t="shared" si="30"/>
        <v>9331.5328600000012</v>
      </c>
      <c r="H190" s="30">
        <f t="shared" si="31"/>
        <v>20774.864931786087</v>
      </c>
      <c r="J190" s="46">
        <v>44621</v>
      </c>
      <c r="K190" s="30">
        <f>IF(DASHBOARD!$E$7=Data!$B$3,Data!K31,IF(DASHBOARD!$E$7=Data!$B$43,K71,IF(DASHBOARD!$E$7=Data!$B$83,Data!K111,IF(DASHBOARD!$E$7=Data!$B$123,Data!K151,""))))</f>
        <v>0</v>
      </c>
      <c r="L190" s="30">
        <f>IF(DASHBOARD!$J$7=Data!$J$3,Data!L31,IF(DASHBOARD!$J$7=Data!$J$43,L71,IF(DASHBOARD!$J$7=Data!$J$83,Data!L111,IF(DASHBOARD!$J$7=Data!$J$123,Data!L151,""))))</f>
        <v>36705.128205128203</v>
      </c>
      <c r="N190" s="46">
        <v>44621</v>
      </c>
      <c r="O190" s="30">
        <f t="shared" si="24"/>
        <v>273199.92718</v>
      </c>
      <c r="P190" s="30">
        <f t="shared" si="25"/>
        <v>626538.4615384615</v>
      </c>
      <c r="R190" s="46">
        <v>44621</v>
      </c>
      <c r="S190" s="30">
        <f>IF(DASHBOARD!$E$21=Data!$R$3,Data!S31,IF(DASHBOARD!$E$21=Data!$R$43,Data!S71,""))</f>
        <v>0</v>
      </c>
      <c r="T190" s="30">
        <f>IF(DASHBOARD!$E$21=Data!$R$3,Data!T31,IF(DASHBOARD!$E$21=Data!$R$43,Data!T71,""))</f>
        <v>5</v>
      </c>
      <c r="V190" s="46">
        <v>44621</v>
      </c>
      <c r="W190" s="30">
        <f t="shared" si="26"/>
        <v>79</v>
      </c>
      <c r="X190" s="30">
        <f t="shared" si="27"/>
        <v>123</v>
      </c>
      <c r="Z190" s="46">
        <v>44621</v>
      </c>
      <c r="AA190" s="30">
        <f>IF(DASHBOARD!$J$21=Data!$Z$3,Data!AA31,IF(DASHBOARD!$J$21=Data!$Z$43,Data!AA71,""))</f>
        <v>0</v>
      </c>
      <c r="AB190" s="30">
        <f>IF(DASHBOARD!$J$21=Data!$Z$3,Data!AB31,IF(DASHBOARD!$J$21=Data!$Z$43,Data!AB71,""))</f>
        <v>20</v>
      </c>
      <c r="AD190" s="46">
        <v>44621</v>
      </c>
      <c r="AE190" s="30">
        <f t="shared" si="28"/>
        <v>475</v>
      </c>
      <c r="AF190" s="30">
        <f t="shared" si="29"/>
        <v>540</v>
      </c>
    </row>
    <row r="191" spans="2:32" x14ac:dyDescent="0.35">
      <c r="B191" s="46">
        <v>44652</v>
      </c>
      <c r="C191" s="30">
        <f>IF(DASHBOARD!$E$7=Data!$B$3,Data!C32,IF(DASHBOARD!$E$7=Data!$B$43,C72,IF(DASHBOARD!$E$7=Data!$B$83,Data!C112,IF(DASHBOARD!$E$7=Data!$B$123,Data!C152,""))))</f>
        <v>0</v>
      </c>
      <c r="D191" s="30">
        <f>IF(DASHBOARD!$E$7=Data!$B$3,Data!D32,IF(DASHBOARD!$E$7=Data!$B$43,D72,IF(DASHBOARD!$E$7=Data!$B$83,Data!D112,IF(DASHBOARD!$E$7=Data!$B$123,Data!D152,""))))</f>
        <v>2297.4864931786101</v>
      </c>
      <c r="F191" s="46">
        <v>44652</v>
      </c>
      <c r="G191" s="30">
        <f t="shared" si="30"/>
        <v>9331.5328600000012</v>
      </c>
      <c r="H191" s="30">
        <f t="shared" si="31"/>
        <v>23072.351424964698</v>
      </c>
      <c r="J191" s="46">
        <v>44652</v>
      </c>
      <c r="K191" s="30">
        <f>IF(DASHBOARD!$E$7=Data!$B$3,Data!K32,IF(DASHBOARD!$E$7=Data!$B$43,K72,IF(DASHBOARD!$E$7=Data!$B$83,Data!K112,IF(DASHBOARD!$E$7=Data!$B$123,Data!K152,""))))</f>
        <v>0</v>
      </c>
      <c r="L191" s="30">
        <f>IF(DASHBOARD!$J$7=Data!$J$3,Data!L32,IF(DASHBOARD!$J$7=Data!$J$43,L72,IF(DASHBOARD!$J$7=Data!$J$83,Data!L112,IF(DASHBOARD!$J$7=Data!$J$123,Data!L152,""))))</f>
        <v>37743.589743589699</v>
      </c>
      <c r="N191" s="46">
        <v>44652</v>
      </c>
      <c r="O191" s="30">
        <f t="shared" si="24"/>
        <v>273199.92718</v>
      </c>
      <c r="P191" s="30">
        <f t="shared" si="25"/>
        <v>664282.05128205125</v>
      </c>
      <c r="R191" s="46">
        <v>44652</v>
      </c>
      <c r="S191" s="30">
        <f>IF(DASHBOARD!$E$21=Data!$R$3,Data!S32,IF(DASHBOARD!$E$21=Data!$R$43,Data!S72,""))</f>
        <v>0</v>
      </c>
      <c r="T191" s="30">
        <f>IF(DASHBOARD!$E$21=Data!$R$3,Data!T32,IF(DASHBOARD!$E$21=Data!$R$43,Data!T72,""))</f>
        <v>5</v>
      </c>
      <c r="V191" s="46">
        <v>44652</v>
      </c>
      <c r="W191" s="30">
        <f t="shared" si="26"/>
        <v>79</v>
      </c>
      <c r="X191" s="30">
        <f t="shared" si="27"/>
        <v>128</v>
      </c>
      <c r="Z191" s="46">
        <v>44652</v>
      </c>
      <c r="AA191" s="30">
        <f>IF(DASHBOARD!$J$21=Data!$Z$3,Data!AA32,IF(DASHBOARD!$J$21=Data!$Z$43,Data!AA72,""))</f>
        <v>0</v>
      </c>
      <c r="AB191" s="30">
        <f>IF(DASHBOARD!$J$21=Data!$Z$3,Data!AB32,IF(DASHBOARD!$J$21=Data!$Z$43,Data!AB72,""))</f>
        <v>20</v>
      </c>
      <c r="AD191" s="46">
        <v>44652</v>
      </c>
      <c r="AE191" s="30">
        <f t="shared" si="28"/>
        <v>475</v>
      </c>
      <c r="AF191" s="30">
        <f t="shared" si="29"/>
        <v>560</v>
      </c>
    </row>
    <row r="192" spans="2:32" x14ac:dyDescent="0.35">
      <c r="B192" s="46">
        <v>44682</v>
      </c>
      <c r="C192" s="30">
        <f>IF(DASHBOARD!$E$7=Data!$B$3,Data!C33,IF(DASHBOARD!$E$7=Data!$B$43,C73,IF(DASHBOARD!$E$7=Data!$B$83,Data!C113,IF(DASHBOARD!$E$7=Data!$B$123,Data!C153,""))))</f>
        <v>0</v>
      </c>
      <c r="D192" s="30">
        <f>IF(DASHBOARD!$E$7=Data!$B$3,Data!D33,IF(DASHBOARD!$E$7=Data!$B$43,D73,IF(DASHBOARD!$E$7=Data!$B$83,Data!D113,IF(DASHBOARD!$E$7=Data!$B$123,Data!D153,""))))</f>
        <v>2527.2351424964713</v>
      </c>
      <c r="F192" s="46">
        <v>44682</v>
      </c>
      <c r="G192" s="30">
        <f t="shared" si="30"/>
        <v>9331.5328600000012</v>
      </c>
      <c r="H192" s="30">
        <f t="shared" si="31"/>
        <v>25599.58656746117</v>
      </c>
      <c r="J192" s="46">
        <v>44682</v>
      </c>
      <c r="K192" s="30">
        <f>IF(DASHBOARD!$E$7=Data!$B$3,Data!K33,IF(DASHBOARD!$E$7=Data!$B$43,K73,IF(DASHBOARD!$E$7=Data!$B$83,Data!K113,IF(DASHBOARD!$E$7=Data!$B$123,Data!K153,""))))</f>
        <v>0</v>
      </c>
      <c r="L192" s="30">
        <f>IF(DASHBOARD!$J$7=Data!$J$3,Data!L33,IF(DASHBOARD!$J$7=Data!$J$43,L73,IF(DASHBOARD!$J$7=Data!$J$83,Data!L113,IF(DASHBOARD!$J$7=Data!$J$123,Data!L153,""))))</f>
        <v>38782.051282051303</v>
      </c>
      <c r="N192" s="46">
        <v>44682</v>
      </c>
      <c r="O192" s="30">
        <f t="shared" si="24"/>
        <v>273199.92718</v>
      </c>
      <c r="P192" s="30">
        <f t="shared" si="25"/>
        <v>703064.1025641025</v>
      </c>
      <c r="R192" s="46">
        <v>44682</v>
      </c>
      <c r="S192" s="30">
        <f>IF(DASHBOARD!$E$21=Data!$R$3,Data!S33,IF(DASHBOARD!$E$21=Data!$R$43,Data!S73,""))</f>
        <v>0</v>
      </c>
      <c r="T192" s="30">
        <f>IF(DASHBOARD!$E$21=Data!$R$3,Data!T33,IF(DASHBOARD!$E$21=Data!$R$43,Data!T73,""))</f>
        <v>5</v>
      </c>
      <c r="V192" s="46">
        <v>44682</v>
      </c>
      <c r="W192" s="30">
        <f t="shared" si="26"/>
        <v>79</v>
      </c>
      <c r="X192" s="30">
        <f t="shared" si="27"/>
        <v>133</v>
      </c>
      <c r="Z192" s="46">
        <v>44682</v>
      </c>
      <c r="AA192" s="30">
        <f>IF(DASHBOARD!$J$21=Data!$Z$3,Data!AA33,IF(DASHBOARD!$J$21=Data!$Z$43,Data!AA73,""))</f>
        <v>0</v>
      </c>
      <c r="AB192" s="30">
        <f>IF(DASHBOARD!$J$21=Data!$Z$3,Data!AB33,IF(DASHBOARD!$J$21=Data!$Z$43,Data!AB73,""))</f>
        <v>20</v>
      </c>
      <c r="AD192" s="46">
        <v>44682</v>
      </c>
      <c r="AE192" s="30">
        <f t="shared" si="28"/>
        <v>475</v>
      </c>
      <c r="AF192" s="30">
        <f t="shared" si="29"/>
        <v>580</v>
      </c>
    </row>
    <row r="193" spans="2:32" x14ac:dyDescent="0.35">
      <c r="B193" s="46">
        <v>44713</v>
      </c>
      <c r="C193" s="30">
        <f>IF(DASHBOARD!$E$7=Data!$B$3,Data!C34,IF(DASHBOARD!$E$7=Data!$B$43,C74,IF(DASHBOARD!$E$7=Data!$B$83,Data!C114,IF(DASHBOARD!$E$7=Data!$B$123,Data!C154,""))))</f>
        <v>0</v>
      </c>
      <c r="D193" s="30">
        <f>IF(DASHBOARD!$E$7=Data!$B$3,Data!D34,IF(DASHBOARD!$E$7=Data!$B$43,D74,IF(DASHBOARD!$E$7=Data!$B$83,Data!D114,IF(DASHBOARD!$E$7=Data!$B$123,Data!D154,""))))</f>
        <v>2779.9586567461188</v>
      </c>
      <c r="F193" s="46">
        <v>44713</v>
      </c>
      <c r="G193" s="30">
        <f t="shared" si="30"/>
        <v>9331.5328600000012</v>
      </c>
      <c r="H193" s="30">
        <f t="shared" si="31"/>
        <v>28379.54522420729</v>
      </c>
      <c r="J193" s="46">
        <v>44713</v>
      </c>
      <c r="K193" s="30">
        <f>IF(DASHBOARD!$E$7=Data!$B$3,Data!K34,IF(DASHBOARD!$E$7=Data!$B$43,K74,IF(DASHBOARD!$E$7=Data!$B$83,Data!K114,IF(DASHBOARD!$E$7=Data!$B$123,Data!K154,""))))</f>
        <v>0</v>
      </c>
      <c r="L193" s="30">
        <f>IF(DASHBOARD!$J$7=Data!$J$3,Data!L34,IF(DASHBOARD!$J$7=Data!$J$43,L74,IF(DASHBOARD!$J$7=Data!$J$83,Data!L114,IF(DASHBOARD!$J$7=Data!$J$123,Data!L154,""))))</f>
        <v>39820.512820512798</v>
      </c>
      <c r="N193" s="46">
        <v>44713</v>
      </c>
      <c r="O193" s="30">
        <f t="shared" si="24"/>
        <v>273199.92718</v>
      </c>
      <c r="P193" s="30">
        <f t="shared" si="25"/>
        <v>742884.61538461526</v>
      </c>
      <c r="R193" s="46">
        <v>44713</v>
      </c>
      <c r="S193" s="30">
        <f>IF(DASHBOARD!$E$21=Data!$R$3,Data!S34,IF(DASHBOARD!$E$21=Data!$R$43,Data!S74,""))</f>
        <v>0</v>
      </c>
      <c r="T193" s="30">
        <f>IF(DASHBOARD!$E$21=Data!$R$3,Data!T34,IF(DASHBOARD!$E$21=Data!$R$43,Data!T74,""))</f>
        <v>5</v>
      </c>
      <c r="V193" s="46">
        <v>44713</v>
      </c>
      <c r="W193" s="30">
        <f t="shared" si="26"/>
        <v>79</v>
      </c>
      <c r="X193" s="30">
        <f t="shared" si="27"/>
        <v>138</v>
      </c>
      <c r="Z193" s="46">
        <v>44713</v>
      </c>
      <c r="AA193" s="30">
        <f>IF(DASHBOARD!$J$21=Data!$Z$3,Data!AA34,IF(DASHBOARD!$J$21=Data!$Z$43,Data!AA74,""))</f>
        <v>0</v>
      </c>
      <c r="AB193" s="30">
        <f>IF(DASHBOARD!$J$21=Data!$Z$3,Data!AB34,IF(DASHBOARD!$J$21=Data!$Z$43,Data!AB74,""))</f>
        <v>20</v>
      </c>
      <c r="AD193" s="46">
        <v>44713</v>
      </c>
      <c r="AE193" s="30">
        <f t="shared" si="28"/>
        <v>475</v>
      </c>
      <c r="AF193" s="30">
        <f t="shared" si="29"/>
        <v>600</v>
      </c>
    </row>
    <row r="194" spans="2:32" x14ac:dyDescent="0.35">
      <c r="B194" s="46">
        <v>44743</v>
      </c>
      <c r="C194" s="30">
        <f>IF(DASHBOARD!$E$7=Data!$B$3,Data!C35,IF(DASHBOARD!$E$7=Data!$B$43,C75,IF(DASHBOARD!$E$7=Data!$B$83,Data!C115,IF(DASHBOARD!$E$7=Data!$B$123,Data!C155,""))))</f>
        <v>0</v>
      </c>
      <c r="D194" s="30">
        <f>IF(DASHBOARD!$E$7=Data!$B$3,Data!D35,IF(DASHBOARD!$E$7=Data!$B$43,D75,IF(DASHBOARD!$E$7=Data!$B$83,Data!D115,IF(DASHBOARD!$E$7=Data!$B$123,Data!D155,""))))</f>
        <v>3057.9545224207309</v>
      </c>
      <c r="F194" s="46">
        <v>44743</v>
      </c>
      <c r="G194" s="30">
        <f t="shared" si="30"/>
        <v>9331.5328600000012</v>
      </c>
      <c r="H194" s="30">
        <f t="shared" si="31"/>
        <v>31437.499746628022</v>
      </c>
      <c r="J194" s="46">
        <v>44743</v>
      </c>
      <c r="K194" s="30">
        <f>IF(DASHBOARD!$E$7=Data!$B$3,Data!K35,IF(DASHBOARD!$E$7=Data!$B$43,K75,IF(DASHBOARD!$E$7=Data!$B$83,Data!K115,IF(DASHBOARD!$E$7=Data!$B$123,Data!K155,""))))</f>
        <v>0</v>
      </c>
      <c r="L194" s="30">
        <f>IF(DASHBOARD!$J$7=Data!$J$3,Data!L35,IF(DASHBOARD!$J$7=Data!$J$43,L75,IF(DASHBOARD!$J$7=Data!$J$83,Data!L115,IF(DASHBOARD!$J$7=Data!$J$123,Data!L155,""))))</f>
        <v>40858.974358974403</v>
      </c>
      <c r="N194" s="46">
        <v>44743</v>
      </c>
      <c r="O194" s="30">
        <f t="shared" si="24"/>
        <v>273199.92718</v>
      </c>
      <c r="P194" s="30">
        <f t="shared" si="25"/>
        <v>783743.58974358963</v>
      </c>
      <c r="R194" s="46">
        <v>44743</v>
      </c>
      <c r="S194" s="30">
        <f>IF(DASHBOARD!$E$21=Data!$R$3,Data!S35,IF(DASHBOARD!$E$21=Data!$R$43,Data!S75,""))</f>
        <v>0</v>
      </c>
      <c r="T194" s="30">
        <f>IF(DASHBOARD!$E$21=Data!$R$3,Data!T35,IF(DASHBOARD!$E$21=Data!$R$43,Data!T75,""))</f>
        <v>5</v>
      </c>
      <c r="V194" s="46">
        <v>44743</v>
      </c>
      <c r="W194" s="30">
        <f t="shared" si="26"/>
        <v>79</v>
      </c>
      <c r="X194" s="30">
        <f t="shared" si="27"/>
        <v>143</v>
      </c>
      <c r="Z194" s="46">
        <v>44743</v>
      </c>
      <c r="AA194" s="30">
        <f>IF(DASHBOARD!$J$21=Data!$Z$3,Data!AA35,IF(DASHBOARD!$J$21=Data!$Z$43,Data!AA75,""))</f>
        <v>0</v>
      </c>
      <c r="AB194" s="30">
        <f>IF(DASHBOARD!$J$21=Data!$Z$3,Data!AB35,IF(DASHBOARD!$J$21=Data!$Z$43,Data!AB75,""))</f>
        <v>20</v>
      </c>
      <c r="AD194" s="46">
        <v>44743</v>
      </c>
      <c r="AE194" s="30">
        <f t="shared" si="28"/>
        <v>475</v>
      </c>
      <c r="AF194" s="30">
        <f t="shared" si="29"/>
        <v>620</v>
      </c>
    </row>
    <row r="195" spans="2:32" x14ac:dyDescent="0.35">
      <c r="B195" s="46">
        <v>44774</v>
      </c>
      <c r="C195" s="30">
        <f>IF(DASHBOARD!$E$7=Data!$B$3,Data!C36,IF(DASHBOARD!$E$7=Data!$B$43,C76,IF(DASHBOARD!$E$7=Data!$B$83,Data!C116,IF(DASHBOARD!$E$7=Data!$B$123,Data!C156,""))))</f>
        <v>0</v>
      </c>
      <c r="D195" s="30">
        <f>IF(DASHBOARD!$E$7=Data!$B$3,Data!D36,IF(DASHBOARD!$E$7=Data!$B$43,D76,IF(DASHBOARD!$E$7=Data!$B$83,Data!D116,IF(DASHBOARD!$E$7=Data!$B$123,Data!D156,""))))</f>
        <v>3600</v>
      </c>
      <c r="F195" s="46">
        <v>44774</v>
      </c>
      <c r="G195" s="30">
        <f t="shared" si="30"/>
        <v>9331.5328600000012</v>
      </c>
      <c r="H195" s="30">
        <f t="shared" si="31"/>
        <v>35037.499746628018</v>
      </c>
      <c r="J195" s="46">
        <v>44774</v>
      </c>
      <c r="K195" s="30">
        <f>IF(DASHBOARD!$E$7=Data!$B$3,Data!K36,IF(DASHBOARD!$E$7=Data!$B$43,K76,IF(DASHBOARD!$E$7=Data!$B$83,Data!K116,IF(DASHBOARD!$E$7=Data!$B$123,Data!K156,""))))</f>
        <v>0</v>
      </c>
      <c r="L195" s="30">
        <f>IF(DASHBOARD!$J$7=Data!$J$3,Data!L36,IF(DASHBOARD!$J$7=Data!$J$43,L76,IF(DASHBOARD!$J$7=Data!$J$83,Data!L116,IF(DASHBOARD!$J$7=Data!$J$123,Data!L156,""))))</f>
        <v>0</v>
      </c>
      <c r="N195" s="46">
        <v>44774</v>
      </c>
      <c r="O195" s="30">
        <f t="shared" si="24"/>
        <v>273199.92718</v>
      </c>
      <c r="P195" s="30">
        <f t="shared" si="25"/>
        <v>783743.58974358963</v>
      </c>
      <c r="R195" s="46">
        <v>44774</v>
      </c>
      <c r="S195" s="30">
        <f>IF(DASHBOARD!$E$21=Data!$R$3,Data!S36,IF(DASHBOARD!$E$21=Data!$R$43,Data!S76,""))</f>
        <v>0</v>
      </c>
      <c r="T195" s="30">
        <f>IF(DASHBOARD!$E$21=Data!$R$3,Data!T36,IF(DASHBOARD!$E$21=Data!$R$43,Data!T76,""))</f>
        <v>5</v>
      </c>
      <c r="V195" s="46">
        <v>44774</v>
      </c>
      <c r="W195" s="30">
        <f t="shared" si="26"/>
        <v>79</v>
      </c>
      <c r="X195" s="30">
        <f t="shared" si="27"/>
        <v>148</v>
      </c>
      <c r="Z195" s="46">
        <v>44774</v>
      </c>
      <c r="AA195" s="30">
        <f>IF(DASHBOARD!$J$21=Data!$Z$3,Data!AA36,IF(DASHBOARD!$J$21=Data!$Z$43,Data!AA76,""))</f>
        <v>0</v>
      </c>
      <c r="AB195" s="30">
        <f>IF(DASHBOARD!$J$21=Data!$Z$3,Data!AB36,IF(DASHBOARD!$J$21=Data!$Z$43,Data!AB76,""))</f>
        <v>20</v>
      </c>
      <c r="AD195" s="46">
        <v>44774</v>
      </c>
      <c r="AE195" s="30">
        <f t="shared" si="28"/>
        <v>475</v>
      </c>
      <c r="AF195" s="30">
        <f t="shared" si="29"/>
        <v>640</v>
      </c>
    </row>
    <row r="196" spans="2:32" x14ac:dyDescent="0.35">
      <c r="B196" s="46">
        <v>44805</v>
      </c>
      <c r="C196" s="30">
        <f>IF(DASHBOARD!$E$7=Data!$B$3,Data!C37,IF(DASHBOARD!$E$7=Data!$B$43,C77,IF(DASHBOARD!$E$7=Data!$B$83,Data!C117,IF(DASHBOARD!$E$7=Data!$B$123,Data!C157,""))))</f>
        <v>0</v>
      </c>
      <c r="D196" s="30">
        <f>IF(DASHBOARD!$E$7=Data!$B$3,Data!D37,IF(DASHBOARD!$E$7=Data!$B$43,D77,IF(DASHBOARD!$E$7=Data!$B$83,Data!D117,IF(DASHBOARD!$E$7=Data!$B$123,Data!D157,""))))</f>
        <v>3600</v>
      </c>
      <c r="F196" s="46">
        <v>44805</v>
      </c>
      <c r="G196" s="30">
        <f t="shared" si="30"/>
        <v>9331.5328600000012</v>
      </c>
      <c r="H196" s="30">
        <f t="shared" si="31"/>
        <v>38637.499746628018</v>
      </c>
      <c r="J196" s="46">
        <v>44805</v>
      </c>
      <c r="K196" s="30">
        <f>IF(DASHBOARD!$E$7=Data!$B$3,Data!K37,IF(DASHBOARD!$E$7=Data!$B$43,K77,IF(DASHBOARD!$E$7=Data!$B$83,Data!K117,IF(DASHBOARD!$E$7=Data!$B$123,Data!K157,""))))</f>
        <v>0</v>
      </c>
      <c r="L196" s="30">
        <f>IF(DASHBOARD!$J$7=Data!$J$3,Data!L37,IF(DASHBOARD!$J$7=Data!$J$43,L77,IF(DASHBOARD!$J$7=Data!$J$83,Data!L117,IF(DASHBOARD!$J$7=Data!$J$123,Data!L157,""))))</f>
        <v>0</v>
      </c>
      <c r="N196" s="46">
        <v>44805</v>
      </c>
      <c r="O196" s="30">
        <f t="shared" si="24"/>
        <v>273199.92718</v>
      </c>
      <c r="P196" s="30">
        <f t="shared" si="25"/>
        <v>783743.58974358963</v>
      </c>
      <c r="R196" s="46">
        <v>44805</v>
      </c>
      <c r="S196" s="30">
        <f>IF(DASHBOARD!$E$21=Data!$R$3,Data!S37,IF(DASHBOARD!$E$21=Data!$R$43,Data!S77,""))</f>
        <v>0</v>
      </c>
      <c r="T196" s="30">
        <f>IF(DASHBOARD!$E$21=Data!$R$3,Data!T37,IF(DASHBOARD!$E$21=Data!$R$43,Data!T77,""))</f>
        <v>5</v>
      </c>
      <c r="V196" s="46">
        <v>44805</v>
      </c>
      <c r="W196" s="30">
        <f t="shared" si="26"/>
        <v>79</v>
      </c>
      <c r="X196" s="30">
        <f t="shared" si="27"/>
        <v>153</v>
      </c>
      <c r="Z196" s="46">
        <v>44805</v>
      </c>
      <c r="AA196" s="30">
        <f>IF(DASHBOARD!$J$21=Data!$Z$3,Data!AA37,IF(DASHBOARD!$J$21=Data!$Z$43,Data!AA77,""))</f>
        <v>0</v>
      </c>
      <c r="AB196" s="30">
        <f>IF(DASHBOARD!$J$21=Data!$Z$3,Data!AB37,IF(DASHBOARD!$J$21=Data!$Z$43,Data!AB77,""))</f>
        <v>20</v>
      </c>
      <c r="AD196" s="46">
        <v>44805</v>
      </c>
      <c r="AE196" s="30">
        <f t="shared" si="28"/>
        <v>475</v>
      </c>
      <c r="AF196" s="30">
        <f t="shared" si="29"/>
        <v>660</v>
      </c>
    </row>
    <row r="197" spans="2:32" x14ac:dyDescent="0.35">
      <c r="B197" s="46">
        <v>44835</v>
      </c>
      <c r="C197" s="30">
        <f>IF(DASHBOARD!$E$7=Data!$B$3,Data!C38,IF(DASHBOARD!$E$7=Data!$B$43,C78,IF(DASHBOARD!$E$7=Data!$B$83,Data!C118,IF(DASHBOARD!$E$7=Data!$B$123,Data!C158,""))))</f>
        <v>0</v>
      </c>
      <c r="D197" s="30">
        <f>IF(DASHBOARD!$E$7=Data!$B$3,Data!D38,IF(DASHBOARD!$E$7=Data!$B$43,D78,IF(DASHBOARD!$E$7=Data!$B$83,Data!D118,IF(DASHBOARD!$E$7=Data!$B$123,Data!D158,""))))</f>
        <v>3600</v>
      </c>
      <c r="F197" s="46">
        <v>44835</v>
      </c>
      <c r="G197" s="30">
        <f t="shared" si="30"/>
        <v>9331.5328600000012</v>
      </c>
      <c r="H197" s="30">
        <f t="shared" si="31"/>
        <v>42237.499746628018</v>
      </c>
      <c r="J197" s="46">
        <v>44835</v>
      </c>
      <c r="K197" s="30">
        <f>IF(DASHBOARD!$E$7=Data!$B$3,Data!K38,IF(DASHBOARD!$E$7=Data!$B$43,K78,IF(DASHBOARD!$E$7=Data!$B$83,Data!K118,IF(DASHBOARD!$E$7=Data!$B$123,Data!K158,""))))</f>
        <v>0</v>
      </c>
      <c r="L197" s="30">
        <f>IF(DASHBOARD!$J$7=Data!$J$3,Data!L38,IF(DASHBOARD!$J$7=Data!$J$43,L78,IF(DASHBOARD!$J$7=Data!$J$83,Data!L118,IF(DASHBOARD!$J$7=Data!$J$123,Data!L158,""))))</f>
        <v>0</v>
      </c>
      <c r="N197" s="46">
        <v>44835</v>
      </c>
      <c r="O197" s="30">
        <f t="shared" si="24"/>
        <v>273199.92718</v>
      </c>
      <c r="P197" s="30">
        <f t="shared" si="25"/>
        <v>783743.58974358963</v>
      </c>
      <c r="R197" s="46">
        <v>44835</v>
      </c>
      <c r="S197" s="30">
        <f>IF(DASHBOARD!$E$21=Data!$R$3,Data!S38,IF(DASHBOARD!$E$21=Data!$R$43,Data!S78,""))</f>
        <v>0</v>
      </c>
      <c r="T197" s="30">
        <f>IF(DASHBOARD!$E$21=Data!$R$3,Data!T38,IF(DASHBOARD!$E$21=Data!$R$43,Data!T78,""))</f>
        <v>5</v>
      </c>
      <c r="V197" s="46">
        <v>44835</v>
      </c>
      <c r="W197" s="30">
        <f t="shared" si="26"/>
        <v>79</v>
      </c>
      <c r="X197" s="30">
        <f t="shared" si="27"/>
        <v>158</v>
      </c>
      <c r="Z197" s="46">
        <v>44835</v>
      </c>
      <c r="AA197" s="30">
        <f>IF(DASHBOARD!$J$21=Data!$Z$3,Data!AA38,IF(DASHBOARD!$J$21=Data!$Z$43,Data!AA78,""))</f>
        <v>0</v>
      </c>
      <c r="AB197" s="30">
        <f>IF(DASHBOARD!$J$21=Data!$Z$3,Data!AB38,IF(DASHBOARD!$J$21=Data!$Z$43,Data!AB78,""))</f>
        <v>20</v>
      </c>
      <c r="AD197" s="46">
        <v>44835</v>
      </c>
      <c r="AE197" s="30">
        <f t="shared" si="28"/>
        <v>475</v>
      </c>
      <c r="AF197" s="30">
        <f t="shared" si="29"/>
        <v>680</v>
      </c>
    </row>
    <row r="198" spans="2:32" x14ac:dyDescent="0.35">
      <c r="B198" s="46">
        <v>44866</v>
      </c>
      <c r="C198" s="30">
        <f>IF(DASHBOARD!$E$7=Data!$B$3,Data!C39,IF(DASHBOARD!$E$7=Data!$B$43,C79,IF(DASHBOARD!$E$7=Data!$B$83,Data!C119,IF(DASHBOARD!$E$7=Data!$B$123,Data!C159,""))))</f>
        <v>0</v>
      </c>
      <c r="D198" s="30">
        <f>IF(DASHBOARD!$E$7=Data!$B$3,Data!D39,IF(DASHBOARD!$E$7=Data!$B$43,D79,IF(DASHBOARD!$E$7=Data!$B$83,Data!D119,IF(DASHBOARD!$E$7=Data!$B$123,Data!D159,""))))</f>
        <v>3600</v>
      </c>
      <c r="F198" s="46">
        <v>44866</v>
      </c>
      <c r="G198" s="30">
        <f t="shared" si="30"/>
        <v>9331.5328600000012</v>
      </c>
      <c r="H198" s="30">
        <f t="shared" si="31"/>
        <v>45837.499746628018</v>
      </c>
      <c r="J198" s="46">
        <v>44866</v>
      </c>
      <c r="K198" s="30">
        <f>IF(DASHBOARD!$E$7=Data!$B$3,Data!K39,IF(DASHBOARD!$E$7=Data!$B$43,K79,IF(DASHBOARD!$E$7=Data!$B$83,Data!K119,IF(DASHBOARD!$E$7=Data!$B$123,Data!K159,""))))</f>
        <v>0</v>
      </c>
      <c r="L198" s="30">
        <f>IF(DASHBOARD!$J$7=Data!$J$3,Data!L39,IF(DASHBOARD!$J$7=Data!$J$43,L79,IF(DASHBOARD!$J$7=Data!$J$83,Data!L119,IF(DASHBOARD!$J$7=Data!$J$123,Data!L159,""))))</f>
        <v>0</v>
      </c>
      <c r="N198" s="46">
        <v>44866</v>
      </c>
      <c r="O198" s="30">
        <f t="shared" si="24"/>
        <v>273199.92718</v>
      </c>
      <c r="P198" s="30">
        <f t="shared" si="25"/>
        <v>783743.58974358963</v>
      </c>
      <c r="R198" s="46">
        <v>44866</v>
      </c>
      <c r="S198" s="30">
        <f>IF(DASHBOARD!$E$21=Data!$R$3,Data!S39,IF(DASHBOARD!$E$21=Data!$R$43,Data!S79,""))</f>
        <v>0</v>
      </c>
      <c r="T198" s="30">
        <f>IF(DASHBOARD!$E$21=Data!$R$3,Data!T39,IF(DASHBOARD!$E$21=Data!$R$43,Data!T79,""))</f>
        <v>5</v>
      </c>
      <c r="V198" s="46">
        <v>44866</v>
      </c>
      <c r="W198" s="30">
        <f t="shared" si="26"/>
        <v>79</v>
      </c>
      <c r="X198" s="30">
        <f t="shared" si="27"/>
        <v>163</v>
      </c>
      <c r="Z198" s="46">
        <v>44866</v>
      </c>
      <c r="AA198" s="30">
        <f>IF(DASHBOARD!$J$21=Data!$Z$3,Data!AA39,IF(DASHBOARD!$J$21=Data!$Z$43,Data!AA79,""))</f>
        <v>0</v>
      </c>
      <c r="AB198" s="30">
        <f>IF(DASHBOARD!$J$21=Data!$Z$3,Data!AB39,IF(DASHBOARD!$J$21=Data!$Z$43,Data!AB79,""))</f>
        <v>20</v>
      </c>
      <c r="AD198" s="46">
        <v>44866</v>
      </c>
      <c r="AE198" s="30">
        <f t="shared" si="28"/>
        <v>475</v>
      </c>
      <c r="AF198" s="30">
        <f t="shared" si="29"/>
        <v>700</v>
      </c>
    </row>
    <row r="199" spans="2:32" x14ac:dyDescent="0.35">
      <c r="B199" s="46">
        <v>44896</v>
      </c>
      <c r="C199" s="30">
        <f>IF(DASHBOARD!$E$7=Data!$B$3,Data!C40,IF(DASHBOARD!$E$7=Data!$B$43,C80,IF(DASHBOARD!$E$7=Data!$B$83,Data!C120,IF(DASHBOARD!$E$7=Data!$B$123,Data!C160,""))))</f>
        <v>0</v>
      </c>
      <c r="D199" s="30">
        <f>IF(DASHBOARD!$E$7=Data!$B$3,Data!D40,IF(DASHBOARD!$E$7=Data!$B$43,D80,IF(DASHBOARD!$E$7=Data!$B$83,Data!D120,IF(DASHBOARD!$E$7=Data!$B$123,Data!D160,""))))</f>
        <v>3600</v>
      </c>
      <c r="F199" s="46">
        <v>44896</v>
      </c>
      <c r="G199" s="30">
        <f t="shared" si="30"/>
        <v>9331.5328600000012</v>
      </c>
      <c r="H199" s="30">
        <f t="shared" si="31"/>
        <v>49437.499746628018</v>
      </c>
      <c r="J199" s="46">
        <v>44896</v>
      </c>
      <c r="K199" s="30">
        <f>IF(DASHBOARD!$E$7=Data!$B$3,Data!K40,IF(DASHBOARD!$E$7=Data!$B$43,K80,IF(DASHBOARD!$E$7=Data!$B$83,Data!K120,IF(DASHBOARD!$E$7=Data!$B$123,Data!K160,""))))</f>
        <v>0</v>
      </c>
      <c r="L199" s="30">
        <f>IF(DASHBOARD!$J$7=Data!$J$3,Data!L40,IF(DASHBOARD!$J$7=Data!$J$43,L80,IF(DASHBOARD!$J$7=Data!$J$83,Data!L120,IF(DASHBOARD!$J$7=Data!$J$123,Data!L160,""))))</f>
        <v>0</v>
      </c>
      <c r="N199" s="46">
        <v>44896</v>
      </c>
      <c r="O199" s="30">
        <f t="shared" si="24"/>
        <v>273199.92718</v>
      </c>
      <c r="P199" s="30">
        <f t="shared" si="25"/>
        <v>783743.58974358963</v>
      </c>
      <c r="R199" s="46">
        <v>44896</v>
      </c>
      <c r="S199" s="30">
        <f>IF(DASHBOARD!$E$21=Data!$R$3,Data!S40,IF(DASHBOARD!$E$21=Data!$R$43,Data!S80,""))</f>
        <v>0</v>
      </c>
      <c r="T199" s="30">
        <f>IF(DASHBOARD!$E$21=Data!$R$3,Data!T40,IF(DASHBOARD!$E$21=Data!$R$43,Data!T80,""))</f>
        <v>5</v>
      </c>
      <c r="V199" s="46">
        <v>44896</v>
      </c>
      <c r="W199" s="30">
        <f t="shared" si="26"/>
        <v>79</v>
      </c>
      <c r="X199" s="30">
        <f t="shared" si="27"/>
        <v>168</v>
      </c>
      <c r="Z199" s="46">
        <v>44896</v>
      </c>
      <c r="AA199" s="30">
        <f>IF(DASHBOARD!$J$21=Data!$Z$3,Data!AA40,IF(DASHBOARD!$J$21=Data!$Z$43,Data!AA80,""))</f>
        <v>0</v>
      </c>
      <c r="AB199" s="30">
        <f>IF(DASHBOARD!$J$21=Data!$Z$3,Data!AB40,IF(DASHBOARD!$J$21=Data!$Z$43,Data!AB80,""))</f>
        <v>20</v>
      </c>
      <c r="AD199" s="46">
        <v>44896</v>
      </c>
      <c r="AE199" s="30">
        <f t="shared" si="28"/>
        <v>475</v>
      </c>
      <c r="AF199" s="30">
        <f t="shared" si="29"/>
        <v>720</v>
      </c>
    </row>
    <row r="200" spans="2:32" x14ac:dyDescent="0.35">
      <c r="C200" s="30"/>
      <c r="D200" s="30"/>
      <c r="G200" s="30"/>
      <c r="H200" s="30"/>
      <c r="K200" s="30"/>
      <c r="L200" s="30"/>
      <c r="O200" s="30"/>
      <c r="P200" s="30"/>
      <c r="S200" s="30"/>
      <c r="T200" s="30"/>
      <c r="W200" s="30"/>
      <c r="X200" s="30"/>
      <c r="AA200" s="30"/>
      <c r="AB200" s="30"/>
      <c r="AE200" s="30"/>
      <c r="AF200" s="30"/>
    </row>
    <row r="201" spans="2:32" x14ac:dyDescent="0.35">
      <c r="C201" s="30"/>
      <c r="D201" s="30"/>
      <c r="G201" s="30"/>
      <c r="H201" s="30"/>
      <c r="K201" s="30"/>
      <c r="L201" s="30"/>
      <c r="O201" s="30"/>
      <c r="P201" s="30"/>
      <c r="S201" s="30"/>
      <c r="T201" s="30"/>
      <c r="W201" s="30"/>
      <c r="X201" s="30"/>
      <c r="AA201" s="30"/>
      <c r="AB201" s="30"/>
      <c r="AE201" s="30"/>
      <c r="AF201" s="30"/>
    </row>
    <row r="202" spans="2:32" x14ac:dyDescent="0.35">
      <c r="B202" s="27" t="s">
        <v>10</v>
      </c>
      <c r="J202" s="27" t="s">
        <v>10</v>
      </c>
      <c r="R202" s="27" t="s">
        <v>10</v>
      </c>
      <c r="Z202" s="27" t="s">
        <v>10</v>
      </c>
    </row>
    <row r="203" spans="2:32" x14ac:dyDescent="0.35">
      <c r="B203" s="31" t="s">
        <v>2</v>
      </c>
      <c r="C203" s="31" t="s">
        <v>3</v>
      </c>
      <c r="D203" s="32" t="s">
        <v>4</v>
      </c>
      <c r="J203" s="31" t="s">
        <v>2</v>
      </c>
      <c r="K203" s="31" t="s">
        <v>3</v>
      </c>
      <c r="L203" s="32" t="s">
        <v>4</v>
      </c>
      <c r="R203" s="31" t="s">
        <v>2</v>
      </c>
      <c r="S203" s="31" t="s">
        <v>3</v>
      </c>
      <c r="T203" s="32" t="s">
        <v>4</v>
      </c>
      <c r="Z203" s="31" t="s">
        <v>2</v>
      </c>
      <c r="AA203" s="31" t="s">
        <v>3</v>
      </c>
      <c r="AB203" s="32" t="s">
        <v>4</v>
      </c>
    </row>
    <row r="204" spans="2:32" x14ac:dyDescent="0.35">
      <c r="B204" s="33" t="s">
        <v>39</v>
      </c>
      <c r="C204" s="33"/>
      <c r="D204" s="34">
        <f>D209*0.7</f>
        <v>1484</v>
      </c>
      <c r="J204" s="33" t="s">
        <v>39</v>
      </c>
      <c r="K204" s="33"/>
      <c r="L204" s="34">
        <f>L209*0.7</f>
        <v>87500</v>
      </c>
      <c r="R204" s="33" t="s">
        <v>39</v>
      </c>
      <c r="S204" s="33"/>
      <c r="T204" s="34">
        <f>T209*0.7</f>
        <v>25.2</v>
      </c>
      <c r="Z204" s="33" t="s">
        <v>39</v>
      </c>
      <c r="AA204" s="33"/>
      <c r="AB204" s="34">
        <f>AB209*0.7</f>
        <v>125.99999999999999</v>
      </c>
    </row>
    <row r="205" spans="2:32" x14ac:dyDescent="0.35">
      <c r="B205" s="33" t="s">
        <v>9</v>
      </c>
      <c r="C205" s="33"/>
      <c r="D205" s="34">
        <f>D209*0.1</f>
        <v>212</v>
      </c>
      <c r="J205" s="33" t="s">
        <v>9</v>
      </c>
      <c r="K205" s="33"/>
      <c r="L205" s="34">
        <f>L209*0.1</f>
        <v>12500</v>
      </c>
      <c r="R205" s="33" t="s">
        <v>9</v>
      </c>
      <c r="S205" s="33"/>
      <c r="T205" s="34">
        <f>T209*0.1</f>
        <v>3.6</v>
      </c>
      <c r="Z205" s="33" t="s">
        <v>9</v>
      </c>
      <c r="AA205" s="33"/>
      <c r="AB205" s="34">
        <f>AB209*0.1</f>
        <v>18</v>
      </c>
    </row>
    <row r="206" spans="2:32" x14ac:dyDescent="0.35">
      <c r="B206" s="33" t="s">
        <v>40</v>
      </c>
      <c r="C206" s="33"/>
      <c r="D206" s="34">
        <f>D209*0.1</f>
        <v>212</v>
      </c>
      <c r="J206" s="33" t="s">
        <v>40</v>
      </c>
      <c r="K206" s="33"/>
      <c r="L206" s="34">
        <f>L209*0.1</f>
        <v>12500</v>
      </c>
      <c r="R206" s="33" t="s">
        <v>40</v>
      </c>
      <c r="S206" s="33"/>
      <c r="T206" s="34">
        <f>T209*0.1</f>
        <v>3.6</v>
      </c>
      <c r="Z206" s="33" t="s">
        <v>40</v>
      </c>
      <c r="AA206" s="33"/>
      <c r="AB206" s="34">
        <f>AB209*0.1</f>
        <v>18</v>
      </c>
    </row>
    <row r="207" spans="2:32" x14ac:dyDescent="0.35">
      <c r="B207" s="33" t="s">
        <v>41</v>
      </c>
      <c r="C207" s="33"/>
      <c r="D207" s="34">
        <f>D209*0.2</f>
        <v>424</v>
      </c>
      <c r="J207" s="33" t="s">
        <v>41</v>
      </c>
      <c r="K207" s="33"/>
      <c r="L207" s="34">
        <f>L209*0.2</f>
        <v>25000</v>
      </c>
      <c r="R207" s="33" t="s">
        <v>41</v>
      </c>
      <c r="S207" s="33"/>
      <c r="T207" s="34">
        <f>T209*0.2</f>
        <v>7.2</v>
      </c>
      <c r="Z207" s="33" t="s">
        <v>41</v>
      </c>
      <c r="AA207" s="33"/>
      <c r="AB207" s="34">
        <f>AB209*0.2</f>
        <v>36</v>
      </c>
    </row>
    <row r="208" spans="2:32" x14ac:dyDescent="0.35">
      <c r="B208" s="35" t="s">
        <v>42</v>
      </c>
      <c r="C208" s="35"/>
      <c r="D208" s="36">
        <f>IF(DASHBOARD!$H$7="MTD",DASHBOARD!$F$17,DASHBOARD!$F$18)</f>
        <v>1810</v>
      </c>
      <c r="J208" s="35" t="s">
        <v>42</v>
      </c>
      <c r="K208" s="35"/>
      <c r="L208" s="36">
        <f>IF(DASHBOARD!$M$7="MTD",DASHBOARD!$K$17,DASHBOARD!$K$18)</f>
        <v>124800</v>
      </c>
      <c r="R208" s="35" t="s">
        <v>42</v>
      </c>
      <c r="S208" s="35"/>
      <c r="T208" s="36">
        <f>IF(DASHBOARD!$H$21="MTD",DASHBOARD!$F$31,DASHBOARD!$F$32)</f>
        <v>26</v>
      </c>
      <c r="Z208" s="35" t="s">
        <v>42</v>
      </c>
      <c r="AA208" s="35"/>
      <c r="AB208" s="36">
        <f>IF(DASHBOARD!$M$21="MTD",DASHBOARD!$K$31,DASHBOARD!$K$32)</f>
        <v>185</v>
      </c>
    </row>
    <row r="209" spans="2:28" x14ac:dyDescent="0.35">
      <c r="B209" s="37" t="s">
        <v>34</v>
      </c>
      <c r="C209" s="37"/>
      <c r="D209" s="38">
        <f>IF(DASHBOARD!$H$7="MTD",DASHBOARD!$G$17,DASHBOARD!$G$18)</f>
        <v>2120</v>
      </c>
      <c r="J209" s="37" t="s">
        <v>34</v>
      </c>
      <c r="K209" s="37"/>
      <c r="L209" s="38">
        <f>IF(DASHBOARD!$M$7="MTD",DASHBOARD!$L$17,DASHBOARD!$L$18)</f>
        <v>125000</v>
      </c>
      <c r="R209" s="37" t="s">
        <v>34</v>
      </c>
      <c r="S209" s="37"/>
      <c r="T209" s="38">
        <f>IF(DASHBOARD!$H$21="MTD",DASHBOARD!$G$31,DASHBOARD!$G$32)</f>
        <v>36</v>
      </c>
      <c r="Z209" s="37" t="s">
        <v>34</v>
      </c>
      <c r="AA209" s="37"/>
      <c r="AB209" s="38">
        <f>IF(DASHBOARD!$M$21="MTD",DASHBOARD!$L$31,DASHBOARD!$L$32)</f>
        <v>180</v>
      </c>
    </row>
  </sheetData>
  <mergeCells count="4">
    <mergeCell ref="B1:H1"/>
    <mergeCell ref="J1:P1"/>
    <mergeCell ref="R1:X1"/>
    <mergeCell ref="Z1:AF1"/>
  </mergeCells>
  <pageMargins left="0.7" right="0.7" top="0.78740157499999996" bottom="0.78740157499999996" header="0.3" footer="0.3"/>
  <tableParts count="36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workbookViewId="0">
      <selection activeCell="E9" sqref="E9"/>
    </sheetView>
  </sheetViews>
  <sheetFormatPr defaultColWidth="11.453125" defaultRowHeight="32" customHeight="1" x14ac:dyDescent="0.35"/>
  <cols>
    <col min="1" max="1" width="3.1796875" style="76" customWidth="1"/>
    <col min="2" max="2" width="3.81640625" style="76" customWidth="1"/>
    <col min="3" max="3" width="19.54296875" style="76" bestFit="1" customWidth="1"/>
    <col min="4" max="16384" width="11.453125" style="76"/>
  </cols>
  <sheetData>
    <row r="1" spans="2:6" ht="32" customHeight="1" x14ac:dyDescent="0.35">
      <c r="C1" s="78" t="s">
        <v>32</v>
      </c>
      <c r="F1" s="77" t="s">
        <v>0</v>
      </c>
    </row>
    <row r="2" spans="2:6" ht="32" customHeight="1" x14ac:dyDescent="0.35">
      <c r="F2" s="77" t="s">
        <v>1</v>
      </c>
    </row>
    <row r="3" spans="2:6" ht="32" customHeight="1" x14ac:dyDescent="0.35">
      <c r="B3" s="68" t="s">
        <v>16</v>
      </c>
      <c r="C3" s="75" t="s">
        <v>31</v>
      </c>
    </row>
    <row r="4" spans="2:6" ht="32" customHeight="1" x14ac:dyDescent="0.35">
      <c r="B4" s="69"/>
      <c r="C4" s="75" t="s">
        <v>20</v>
      </c>
    </row>
    <row r="5" spans="2:6" ht="32" customHeight="1" x14ac:dyDescent="0.35">
      <c r="B5" s="69"/>
      <c r="C5" s="75" t="s">
        <v>29</v>
      </c>
    </row>
    <row r="6" spans="2:6" ht="32" customHeight="1" x14ac:dyDescent="0.35">
      <c r="B6" s="70"/>
      <c r="C6" s="75" t="s">
        <v>30</v>
      </c>
    </row>
    <row r="8" spans="2:6" ht="32" customHeight="1" x14ac:dyDescent="0.35">
      <c r="B8" s="68" t="s">
        <v>17</v>
      </c>
      <c r="C8" s="75" t="s">
        <v>21</v>
      </c>
    </row>
    <row r="9" spans="2:6" ht="32" customHeight="1" x14ac:dyDescent="0.35">
      <c r="B9" s="69"/>
      <c r="C9" s="75" t="s">
        <v>22</v>
      </c>
    </row>
    <row r="10" spans="2:6" ht="32" customHeight="1" x14ac:dyDescent="0.35">
      <c r="B10" s="69"/>
      <c r="C10" s="75" t="s">
        <v>26</v>
      </c>
    </row>
    <row r="11" spans="2:6" ht="32" customHeight="1" x14ac:dyDescent="0.35">
      <c r="B11" s="70"/>
      <c r="C11" s="75" t="s">
        <v>23</v>
      </c>
    </row>
    <row r="13" spans="2:6" ht="32" customHeight="1" x14ac:dyDescent="0.35">
      <c r="B13" s="71" t="s">
        <v>18</v>
      </c>
      <c r="C13" s="75" t="s">
        <v>24</v>
      </c>
    </row>
    <row r="14" spans="2:6" ht="32" customHeight="1" x14ac:dyDescent="0.35">
      <c r="B14" s="71"/>
      <c r="C14" s="75" t="s">
        <v>25</v>
      </c>
    </row>
    <row r="16" spans="2:6" ht="32" customHeight="1" x14ac:dyDescent="0.35">
      <c r="B16" s="71" t="s">
        <v>19</v>
      </c>
      <c r="C16" s="75" t="s">
        <v>27</v>
      </c>
    </row>
    <row r="17" spans="2:3" ht="32" customHeight="1" x14ac:dyDescent="0.35">
      <c r="B17" s="71"/>
      <c r="C17" s="75" t="s">
        <v>28</v>
      </c>
    </row>
  </sheetData>
  <mergeCells count="4">
    <mergeCell ref="B3:B6"/>
    <mergeCell ref="B8:B11"/>
    <mergeCell ref="B13:B14"/>
    <mergeCell ref="B16:B1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10</vt:i4>
      </vt:variant>
    </vt:vector>
  </HeadingPairs>
  <TitlesOfParts>
    <vt:vector size="13" baseType="lpstr">
      <vt:lpstr>DASHBOARD</vt:lpstr>
      <vt:lpstr>Data</vt:lpstr>
      <vt:lpstr>Dropdown</vt:lpstr>
      <vt:lpstr>DASHBOARD!Afdrukbereik</vt:lpstr>
      <vt:lpstr>BerichtJahr</vt:lpstr>
      <vt:lpstr>BerichtTag</vt:lpstr>
      <vt:lpstr>Datumswert</vt:lpstr>
      <vt:lpstr>EinzMTD</vt:lpstr>
      <vt:lpstr>Liste1</vt:lpstr>
      <vt:lpstr>Liste2</vt:lpstr>
      <vt:lpstr>Liste3</vt:lpstr>
      <vt:lpstr>Liste4</vt:lpstr>
      <vt:lpstr>Monatsnummer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Exler</dc:creator>
  <cp:lastModifiedBy>Eva Hazeleger</cp:lastModifiedBy>
  <cp:lastPrinted>2017-03-26T14:40:23Z</cp:lastPrinted>
  <dcterms:created xsi:type="dcterms:W3CDTF">2017-01-30T08:41:03Z</dcterms:created>
  <dcterms:modified xsi:type="dcterms:W3CDTF">2021-11-03T09:25:02Z</dcterms:modified>
</cp:coreProperties>
</file>